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2.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3.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4.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5.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6.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8.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9.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0.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1.xml" ContentType="application/vnd.openxmlformats-officedocument.drawing+xml"/>
  <Override PartName="/xl/comments8.xml" ContentType="application/vnd.openxmlformats-officedocument.spreadsheetml.comments+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2.xml" ContentType="application/vnd.openxmlformats-officedocument.drawing+xml"/>
  <Override PartName="/xl/comments9.xml" ContentType="application/vnd.openxmlformats-officedocument.spreadsheetml.comment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Dropbox\BGL\Shares\Ruud\BIDyn\"/>
    </mc:Choice>
  </mc:AlternateContent>
  <xr:revisionPtr revIDLastSave="0" documentId="8_{060449C1-2D37-4766-BDE8-D3CB8E0AA0F2}" xr6:coauthVersionLast="47" xr6:coauthVersionMax="47" xr10:uidLastSave="{00000000-0000-0000-0000-000000000000}"/>
  <bookViews>
    <workbookView xWindow="-110" yWindow="-110" windowWidth="19420" windowHeight="11620" activeTab="2" xr2:uid="{F5E56CE6-AD52-48A4-BE63-6AFB5E7F9F87}"/>
  </bookViews>
  <sheets>
    <sheet name="Situatie NU" sheetId="9" r:id="rId1"/>
    <sheet name="AONI" sheetId="1" r:id="rId2"/>
    <sheet name="BIDyn" sheetId="8" r:id="rId3"/>
    <sheet name="BIDyn light" sheetId="11" r:id="rId4"/>
    <sheet name="BIDyn-20" sheetId="14" r:id="rId5"/>
    <sheet name="BIDyn-40" sheetId="13" r:id="rId6"/>
    <sheet name="Marginale lasten" sheetId="5" r:id="rId7"/>
    <sheet name="Samenvatting" sheetId="12" r:id="rId8"/>
    <sheet name="Toeslagen lineair" sheetId="6" r:id="rId9"/>
    <sheet name="PAAE"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8" i="8" l="1"/>
  <c r="R169" i="8"/>
  <c r="Q169" i="8"/>
  <c r="R170" i="8"/>
  <c r="C178" i="8"/>
  <c r="Q170" i="8"/>
  <c r="P170" i="8"/>
  <c r="D173" i="8"/>
  <c r="E173" i="8"/>
  <c r="C173" i="8"/>
  <c r="B132" i="5"/>
  <c r="D132" i="5"/>
  <c r="F132" i="5"/>
  <c r="H132" i="5"/>
  <c r="J132" i="5"/>
  <c r="B133" i="5"/>
  <c r="C133" i="5"/>
  <c r="E133" i="5"/>
  <c r="G133" i="5"/>
  <c r="I133" i="5"/>
  <c r="K133" i="5"/>
  <c r="B134" i="5"/>
  <c r="B136" i="5"/>
  <c r="B137" i="5"/>
  <c r="C137" i="5"/>
  <c r="E137" i="5"/>
  <c r="G137" i="5"/>
  <c r="I137" i="5"/>
  <c r="K137" i="5"/>
  <c r="M137" i="5"/>
  <c r="O137" i="5"/>
  <c r="Q137" i="5"/>
  <c r="S137" i="5"/>
  <c r="U137" i="5"/>
  <c r="B138" i="5"/>
  <c r="C138" i="5"/>
  <c r="D138" i="5" s="1"/>
  <c r="D139" i="5" s="1"/>
  <c r="G129" i="5"/>
  <c r="C129" i="5"/>
  <c r="B120" i="5"/>
  <c r="E120" i="5"/>
  <c r="I120" i="5"/>
  <c r="M120" i="5"/>
  <c r="Q120" i="5"/>
  <c r="B121" i="5"/>
  <c r="G121" i="5"/>
  <c r="K121" i="5"/>
  <c r="O121" i="5"/>
  <c r="S121" i="5"/>
  <c r="B122" i="5"/>
  <c r="B124" i="5"/>
  <c r="B125" i="5"/>
  <c r="C125" i="5"/>
  <c r="I125" i="5"/>
  <c r="K125" i="5"/>
  <c r="M125" i="5"/>
  <c r="O125" i="5"/>
  <c r="Q125" i="5"/>
  <c r="S125" i="5"/>
  <c r="U125" i="5"/>
  <c r="B126" i="5"/>
  <c r="C126" i="5"/>
  <c r="D126" i="5" s="1"/>
  <c r="D127" i="5" s="1"/>
  <c r="B127" i="5"/>
  <c r="F174" i="13"/>
  <c r="E174" i="13"/>
  <c r="D174" i="13"/>
  <c r="C174" i="13"/>
  <c r="B174" i="13"/>
  <c r="F173" i="13"/>
  <c r="E173" i="13"/>
  <c r="D173" i="13"/>
  <c r="C173" i="13"/>
  <c r="B173" i="13"/>
  <c r="F172" i="13"/>
  <c r="F175" i="13" s="1"/>
  <c r="E172" i="13"/>
  <c r="E175" i="13" s="1"/>
  <c r="D172" i="13"/>
  <c r="D175" i="13" s="1"/>
  <c r="C172" i="13"/>
  <c r="C175" i="13" s="1"/>
  <c r="C177" i="13" s="1"/>
  <c r="B172" i="13"/>
  <c r="B175" i="13" s="1"/>
  <c r="P170" i="13"/>
  <c r="P169" i="13"/>
  <c r="M169" i="13"/>
  <c r="E168" i="13"/>
  <c r="E169" i="13" s="1"/>
  <c r="N170" i="13" s="1"/>
  <c r="B168" i="13"/>
  <c r="B169" i="13" s="1"/>
  <c r="N167" i="13" s="1"/>
  <c r="M167" i="13"/>
  <c r="E167" i="13"/>
  <c r="M170" i="13" s="1"/>
  <c r="D167" i="13"/>
  <c r="D168" i="13" s="1"/>
  <c r="D169" i="13" s="1"/>
  <c r="N169" i="13" s="1"/>
  <c r="C167" i="13"/>
  <c r="C168" i="13" s="1"/>
  <c r="C169" i="13" s="1"/>
  <c r="N168" i="13" s="1"/>
  <c r="M163" i="13"/>
  <c r="M162" i="13"/>
  <c r="B146" i="13"/>
  <c r="P137" i="13"/>
  <c r="P136" i="13"/>
  <c r="P135" i="13"/>
  <c r="P134" i="13"/>
  <c r="P133" i="13"/>
  <c r="A116" i="13"/>
  <c r="C112" i="13"/>
  <c r="AA103" i="13"/>
  <c r="Z103" i="13"/>
  <c r="Y103" i="13"/>
  <c r="X103" i="13"/>
  <c r="W103" i="13"/>
  <c r="V103" i="13"/>
  <c r="U103" i="13"/>
  <c r="T103" i="13"/>
  <c r="S103" i="13"/>
  <c r="R103" i="13"/>
  <c r="Q94" i="13"/>
  <c r="Q93" i="13"/>
  <c r="AA88" i="13"/>
  <c r="Z88" i="13"/>
  <c r="Y88" i="13"/>
  <c r="X88" i="13"/>
  <c r="W88" i="13"/>
  <c r="V88" i="13"/>
  <c r="U88" i="13"/>
  <c r="T88" i="13"/>
  <c r="S88" i="13"/>
  <c r="R88" i="13"/>
  <c r="AA86" i="13"/>
  <c r="Z86" i="13"/>
  <c r="Y86" i="13"/>
  <c r="X86" i="13"/>
  <c r="W86" i="13"/>
  <c r="V86" i="13"/>
  <c r="U86" i="13"/>
  <c r="T86" i="13"/>
  <c r="S86" i="13"/>
  <c r="R86" i="13"/>
  <c r="A82" i="13"/>
  <c r="A81" i="13"/>
  <c r="A80" i="13"/>
  <c r="A79" i="13"/>
  <c r="A78" i="13"/>
  <c r="A77" i="13"/>
  <c r="K75" i="13"/>
  <c r="J75" i="13"/>
  <c r="I75" i="13"/>
  <c r="H75" i="13"/>
  <c r="G75" i="13"/>
  <c r="F75" i="13"/>
  <c r="E75" i="13"/>
  <c r="D75" i="13"/>
  <c r="C75" i="13"/>
  <c r="B75" i="13"/>
  <c r="B76" i="13" s="1"/>
  <c r="A75" i="13"/>
  <c r="K73" i="13"/>
  <c r="J73" i="13"/>
  <c r="I73" i="13"/>
  <c r="H73" i="13"/>
  <c r="G73" i="13"/>
  <c r="F73" i="13"/>
  <c r="E73" i="13"/>
  <c r="D73" i="13"/>
  <c r="C73" i="13"/>
  <c r="B73" i="13"/>
  <c r="A73" i="13"/>
  <c r="H64" i="13"/>
  <c r="H65" i="13" s="1"/>
  <c r="I63" i="13"/>
  <c r="H63" i="13"/>
  <c r="G63" i="13"/>
  <c r="I62" i="13"/>
  <c r="H62" i="13"/>
  <c r="G62" i="13"/>
  <c r="F62" i="13"/>
  <c r="H61" i="13"/>
  <c r="G61" i="13"/>
  <c r="G64" i="13" s="1"/>
  <c r="F61" i="13"/>
  <c r="E61" i="13"/>
  <c r="J60" i="13"/>
  <c r="J61" i="13" s="1"/>
  <c r="I60" i="13"/>
  <c r="I61" i="13" s="1"/>
  <c r="I64" i="13" s="1"/>
  <c r="I65" i="13" s="1"/>
  <c r="H60" i="13"/>
  <c r="G60" i="13"/>
  <c r="G65" i="13" s="1"/>
  <c r="F60" i="13"/>
  <c r="E60" i="13"/>
  <c r="E63" i="13" s="1"/>
  <c r="D60" i="13"/>
  <c r="D62" i="13" s="1"/>
  <c r="R55" i="13"/>
  <c r="I55" i="13"/>
  <c r="I56" i="13" s="1"/>
  <c r="H55" i="13"/>
  <c r="H56" i="13" s="1"/>
  <c r="G55" i="13"/>
  <c r="G56" i="13" s="1"/>
  <c r="R54" i="13"/>
  <c r="K54" i="13"/>
  <c r="J54" i="13"/>
  <c r="I54" i="13"/>
  <c r="H54" i="13"/>
  <c r="G54" i="13"/>
  <c r="F54" i="13"/>
  <c r="E54" i="13"/>
  <c r="D54" i="13"/>
  <c r="C54" i="13"/>
  <c r="B54" i="13"/>
  <c r="K53" i="13"/>
  <c r="J53" i="13"/>
  <c r="I53" i="13"/>
  <c r="H53" i="13"/>
  <c r="G53" i="13"/>
  <c r="F53" i="13"/>
  <c r="E53" i="13"/>
  <c r="D53" i="13"/>
  <c r="C53" i="13"/>
  <c r="B53" i="13"/>
  <c r="K52" i="13"/>
  <c r="K55" i="13" s="1"/>
  <c r="J52" i="13"/>
  <c r="J55" i="13" s="1"/>
  <c r="I52" i="13"/>
  <c r="H52" i="13"/>
  <c r="G52" i="13"/>
  <c r="F52" i="13"/>
  <c r="F55" i="13" s="1"/>
  <c r="E52" i="13"/>
  <c r="E55" i="13" s="1"/>
  <c r="D52" i="13"/>
  <c r="D55" i="13" s="1"/>
  <c r="C52" i="13"/>
  <c r="C55" i="13" s="1"/>
  <c r="B52" i="13"/>
  <c r="B55" i="13" s="1"/>
  <c r="N44" i="13"/>
  <c r="B41" i="13"/>
  <c r="C28" i="13"/>
  <c r="E28" i="13" s="1"/>
  <c r="D25" i="13"/>
  <c r="C25" i="13"/>
  <c r="E22" i="13"/>
  <c r="E21" i="13"/>
  <c r="E20" i="13"/>
  <c r="E18" i="13"/>
  <c r="E25" i="13" s="1"/>
  <c r="E17" i="13"/>
  <c r="B13" i="13"/>
  <c r="D10" i="13"/>
  <c r="E10" i="13" s="1"/>
  <c r="N42" i="13" s="1"/>
  <c r="D9" i="13"/>
  <c r="C9" i="13"/>
  <c r="E9" i="13" s="1"/>
  <c r="C2" i="13"/>
  <c r="D5" i="13" s="1"/>
  <c r="E175" i="14"/>
  <c r="E177" i="14" s="1"/>
  <c r="Q170" i="14" s="1"/>
  <c r="F174" i="14"/>
  <c r="E174" i="14"/>
  <c r="D174" i="14"/>
  <c r="C174" i="14"/>
  <c r="B174" i="14"/>
  <c r="B175" i="14" s="1"/>
  <c r="F173" i="14"/>
  <c r="E173" i="14"/>
  <c r="D173" i="14"/>
  <c r="C173" i="14"/>
  <c r="B173" i="14"/>
  <c r="F172" i="14"/>
  <c r="F175" i="14" s="1"/>
  <c r="E172" i="14"/>
  <c r="D172" i="14"/>
  <c r="D175" i="14" s="1"/>
  <c r="C172" i="14"/>
  <c r="C175" i="14" s="1"/>
  <c r="C177" i="14" s="1"/>
  <c r="B172" i="14"/>
  <c r="P170" i="14"/>
  <c r="M170" i="14"/>
  <c r="P169" i="14"/>
  <c r="E168" i="14"/>
  <c r="E169" i="14" s="1"/>
  <c r="N170" i="14" s="1"/>
  <c r="B168" i="14"/>
  <c r="B169" i="14" s="1"/>
  <c r="N167" i="14" s="1"/>
  <c r="M167" i="14"/>
  <c r="E167" i="14"/>
  <c r="D167" i="14"/>
  <c r="M169" i="14" s="1"/>
  <c r="C167" i="14"/>
  <c r="C168" i="14" s="1"/>
  <c r="C169" i="14" s="1"/>
  <c r="N168" i="14" s="1"/>
  <c r="M163" i="14"/>
  <c r="M162" i="14"/>
  <c r="B146" i="14"/>
  <c r="P137" i="14"/>
  <c r="P136" i="14"/>
  <c r="P135" i="14"/>
  <c r="P134" i="14"/>
  <c r="P133" i="14"/>
  <c r="A116" i="14"/>
  <c r="C112" i="14"/>
  <c r="AA103" i="14"/>
  <c r="Z103" i="14"/>
  <c r="Y103" i="14"/>
  <c r="X103" i="14"/>
  <c r="W103" i="14"/>
  <c r="V103" i="14"/>
  <c r="U103" i="14"/>
  <c r="T103" i="14"/>
  <c r="S103" i="14"/>
  <c r="R103" i="14"/>
  <c r="Q94" i="14"/>
  <c r="Q93" i="14"/>
  <c r="AA88" i="14"/>
  <c r="Z88" i="14"/>
  <c r="Y88" i="14"/>
  <c r="X88" i="14"/>
  <c r="W88" i="14"/>
  <c r="V88" i="14"/>
  <c r="U88" i="14"/>
  <c r="T88" i="14"/>
  <c r="S88" i="14"/>
  <c r="R88" i="14"/>
  <c r="AA86" i="14"/>
  <c r="Z86" i="14"/>
  <c r="Y86" i="14"/>
  <c r="X86" i="14"/>
  <c r="W86" i="14"/>
  <c r="V86" i="14"/>
  <c r="U86" i="14"/>
  <c r="T86" i="14"/>
  <c r="S86" i="14"/>
  <c r="R86" i="14"/>
  <c r="A82" i="14"/>
  <c r="A81" i="14"/>
  <c r="A80" i="14"/>
  <c r="A79" i="14"/>
  <c r="A78" i="14"/>
  <c r="A77" i="14"/>
  <c r="K75" i="14"/>
  <c r="J75" i="14"/>
  <c r="I75" i="14"/>
  <c r="H75" i="14"/>
  <c r="G75" i="14"/>
  <c r="F75" i="14"/>
  <c r="E75" i="14"/>
  <c r="D75" i="14"/>
  <c r="C75" i="14"/>
  <c r="B75" i="14"/>
  <c r="B76" i="14" s="1"/>
  <c r="B78" i="14" s="1"/>
  <c r="A75" i="14"/>
  <c r="K73" i="14"/>
  <c r="J73" i="14"/>
  <c r="I73" i="14"/>
  <c r="H73" i="14"/>
  <c r="G73" i="14"/>
  <c r="F73" i="14"/>
  <c r="E73" i="14"/>
  <c r="D73" i="14"/>
  <c r="C73" i="14"/>
  <c r="B73" i="14"/>
  <c r="A73" i="14"/>
  <c r="I64" i="14"/>
  <c r="I65" i="14" s="1"/>
  <c r="I63" i="14"/>
  <c r="H63" i="14"/>
  <c r="G63" i="14"/>
  <c r="I62" i="14"/>
  <c r="H62" i="14"/>
  <c r="H64" i="14" s="1"/>
  <c r="H65" i="14" s="1"/>
  <c r="G62" i="14"/>
  <c r="D62" i="14"/>
  <c r="H61" i="14"/>
  <c r="G61" i="14"/>
  <c r="G64" i="14" s="1"/>
  <c r="E61" i="14"/>
  <c r="J60" i="14"/>
  <c r="I60" i="14"/>
  <c r="I61" i="14" s="1"/>
  <c r="H60" i="14"/>
  <c r="G60" i="14"/>
  <c r="F60" i="14"/>
  <c r="F63" i="14" s="1"/>
  <c r="E60" i="14"/>
  <c r="E63" i="14" s="1"/>
  <c r="D60" i="14"/>
  <c r="R55" i="14"/>
  <c r="I55" i="14"/>
  <c r="R54" i="14"/>
  <c r="K54" i="14"/>
  <c r="J54" i="14"/>
  <c r="I54" i="14"/>
  <c r="H54" i="14"/>
  <c r="G54" i="14"/>
  <c r="F54" i="14"/>
  <c r="E54" i="14"/>
  <c r="D54" i="14"/>
  <c r="C54" i="14"/>
  <c r="B54" i="14"/>
  <c r="K53" i="14"/>
  <c r="J53" i="14"/>
  <c r="J55" i="14" s="1"/>
  <c r="I53" i="14"/>
  <c r="H53" i="14"/>
  <c r="G53" i="14"/>
  <c r="F53" i="14"/>
  <c r="E53" i="14"/>
  <c r="E55" i="14" s="1"/>
  <c r="D53" i="14"/>
  <c r="C53" i="14"/>
  <c r="B53" i="14"/>
  <c r="B55" i="14" s="1"/>
  <c r="K52" i="14"/>
  <c r="J52" i="14"/>
  <c r="I52" i="14"/>
  <c r="H52" i="14"/>
  <c r="H55" i="14" s="1"/>
  <c r="G52" i="14"/>
  <c r="G55" i="14" s="1"/>
  <c r="F52" i="14"/>
  <c r="E52" i="14"/>
  <c r="D52" i="14"/>
  <c r="D55" i="14" s="1"/>
  <c r="C52" i="14"/>
  <c r="B52" i="14"/>
  <c r="N44" i="14"/>
  <c r="B41" i="14"/>
  <c r="C28" i="14"/>
  <c r="E28" i="14" s="1"/>
  <c r="E30" i="14" s="1"/>
  <c r="E25" i="14"/>
  <c r="D25" i="14"/>
  <c r="C25" i="14"/>
  <c r="E22" i="14"/>
  <c r="E21" i="14"/>
  <c r="E20" i="14"/>
  <c r="E18" i="14"/>
  <c r="E17" i="14"/>
  <c r="B13" i="14"/>
  <c r="D10" i="14"/>
  <c r="E10" i="14" s="1"/>
  <c r="D9" i="14"/>
  <c r="C9" i="14"/>
  <c r="E9" i="14" s="1"/>
  <c r="D4" i="14"/>
  <c r="I129" i="5" s="1"/>
  <c r="C2" i="14"/>
  <c r="D5" i="14" s="1"/>
  <c r="A121" i="12"/>
  <c r="B121" i="12"/>
  <c r="C121" i="12"/>
  <c r="B120" i="12"/>
  <c r="C120" i="12"/>
  <c r="D110" i="12"/>
  <c r="B110" i="12"/>
  <c r="E6" i="1"/>
  <c r="B106" i="12" s="1"/>
  <c r="D107" i="12"/>
  <c r="C107" i="12"/>
  <c r="B105" i="12"/>
  <c r="B104" i="12"/>
  <c r="A104" i="12"/>
  <c r="A105" i="12"/>
  <c r="A106" i="12"/>
  <c r="A108" i="12"/>
  <c r="C2" i="11"/>
  <c r="D4" i="11" s="1"/>
  <c r="C116" i="5" s="1"/>
  <c r="E17" i="12"/>
  <c r="E18" i="12"/>
  <c r="F17" i="12"/>
  <c r="F18" i="12"/>
  <c r="G17" i="12"/>
  <c r="G18" i="12"/>
  <c r="H11" i="12"/>
  <c r="M11" i="12" s="1"/>
  <c r="E22" i="12" s="1"/>
  <c r="H10" i="12"/>
  <c r="H9" i="12"/>
  <c r="H8" i="12"/>
  <c r="G11" i="12"/>
  <c r="G10" i="12"/>
  <c r="G9" i="12"/>
  <c r="G8" i="12"/>
  <c r="D11" i="12"/>
  <c r="D10" i="12"/>
  <c r="D9" i="12"/>
  <c r="D8" i="12"/>
  <c r="D7" i="12"/>
  <c r="C11" i="12"/>
  <c r="C10" i="12"/>
  <c r="C9" i="12"/>
  <c r="C8" i="12"/>
  <c r="C7" i="12"/>
  <c r="F11" i="12"/>
  <c r="K11" i="12" s="1"/>
  <c r="G22" i="12" s="1"/>
  <c r="F10" i="12"/>
  <c r="F9" i="12"/>
  <c r="F8" i="12"/>
  <c r="B11" i="12"/>
  <c r="B10" i="12"/>
  <c r="B9" i="12"/>
  <c r="B8" i="12"/>
  <c r="B7" i="12"/>
  <c r="C28" i="11"/>
  <c r="E28" i="11" s="1"/>
  <c r="B107" i="5"/>
  <c r="D107" i="5"/>
  <c r="F107" i="5"/>
  <c r="H107" i="5"/>
  <c r="J107" i="5"/>
  <c r="B108" i="5"/>
  <c r="C108" i="5"/>
  <c r="E108" i="5"/>
  <c r="G108" i="5"/>
  <c r="I108" i="5"/>
  <c r="K108" i="5"/>
  <c r="B109" i="5"/>
  <c r="B111" i="5"/>
  <c r="B112" i="5"/>
  <c r="C112" i="5"/>
  <c r="E112" i="5"/>
  <c r="G112" i="5"/>
  <c r="I112" i="5"/>
  <c r="K112" i="5"/>
  <c r="M112" i="5"/>
  <c r="O112" i="5"/>
  <c r="Q112" i="5"/>
  <c r="S112" i="5"/>
  <c r="U112" i="5"/>
  <c r="B114" i="5"/>
  <c r="B41" i="11"/>
  <c r="F174" i="11"/>
  <c r="E174" i="11"/>
  <c r="D174" i="11"/>
  <c r="C174" i="11"/>
  <c r="B174" i="11"/>
  <c r="F173" i="11"/>
  <c r="E173" i="11"/>
  <c r="D173" i="11"/>
  <c r="C173" i="11"/>
  <c r="B173" i="11"/>
  <c r="F172" i="11"/>
  <c r="E172" i="11"/>
  <c r="D172" i="11"/>
  <c r="C172" i="11"/>
  <c r="B172" i="11"/>
  <c r="P170" i="11"/>
  <c r="P169" i="11"/>
  <c r="B168" i="11"/>
  <c r="B169" i="11" s="1"/>
  <c r="N167" i="11" s="1"/>
  <c r="M167" i="11"/>
  <c r="E167" i="11"/>
  <c r="M170" i="11" s="1"/>
  <c r="D167" i="11"/>
  <c r="M169" i="11" s="1"/>
  <c r="C167" i="11"/>
  <c r="C168" i="11" s="1"/>
  <c r="C169" i="11" s="1"/>
  <c r="N168" i="11" s="1"/>
  <c r="M163" i="11"/>
  <c r="M162" i="11"/>
  <c r="B146" i="11"/>
  <c r="P137" i="11"/>
  <c r="P136" i="11"/>
  <c r="P135" i="11"/>
  <c r="P134" i="11"/>
  <c r="P133" i="11"/>
  <c r="A116" i="11"/>
  <c r="B113" i="5" s="1"/>
  <c r="C112" i="11"/>
  <c r="E112" i="11" s="1"/>
  <c r="G112" i="11" s="1"/>
  <c r="I112" i="11" s="1"/>
  <c r="J109" i="5" s="1"/>
  <c r="AA103" i="11"/>
  <c r="Z103" i="11"/>
  <c r="Y103" i="11"/>
  <c r="X103" i="11"/>
  <c r="W103" i="11"/>
  <c r="V103" i="11"/>
  <c r="U103" i="11"/>
  <c r="T103" i="11"/>
  <c r="S103" i="11"/>
  <c r="R103" i="11"/>
  <c r="Q94" i="11"/>
  <c r="Q93" i="11"/>
  <c r="AA88" i="11"/>
  <c r="Z88" i="11"/>
  <c r="Y88" i="11"/>
  <c r="X88" i="11"/>
  <c r="W88" i="11"/>
  <c r="V88" i="11"/>
  <c r="U88" i="11"/>
  <c r="T88" i="11"/>
  <c r="S88" i="11"/>
  <c r="R88" i="11"/>
  <c r="AA86" i="11"/>
  <c r="Z86" i="11"/>
  <c r="Y86" i="11"/>
  <c r="X86" i="11"/>
  <c r="W86" i="11"/>
  <c r="V86" i="11"/>
  <c r="U86" i="11"/>
  <c r="T86" i="11"/>
  <c r="S86" i="11"/>
  <c r="R86" i="11"/>
  <c r="A82" i="11"/>
  <c r="A81" i="11"/>
  <c r="A80" i="11"/>
  <c r="A79" i="11"/>
  <c r="A78" i="11"/>
  <c r="A77" i="11"/>
  <c r="K75" i="11"/>
  <c r="J75" i="11"/>
  <c r="I75" i="11"/>
  <c r="H75" i="11"/>
  <c r="G75" i="11"/>
  <c r="F75" i="11"/>
  <c r="E75" i="11"/>
  <c r="D75" i="11"/>
  <c r="C75" i="11"/>
  <c r="B75" i="11"/>
  <c r="A75" i="11"/>
  <c r="K73" i="11"/>
  <c r="J73" i="11"/>
  <c r="I73" i="11"/>
  <c r="H73" i="11"/>
  <c r="G73" i="11"/>
  <c r="F73" i="11"/>
  <c r="E73" i="11"/>
  <c r="D73" i="11"/>
  <c r="C73" i="11"/>
  <c r="B73" i="11"/>
  <c r="A73" i="11"/>
  <c r="J63" i="11"/>
  <c r="J60" i="11"/>
  <c r="J62" i="11" s="1"/>
  <c r="I60" i="11"/>
  <c r="I61" i="11" s="1"/>
  <c r="H60" i="11"/>
  <c r="H63" i="11" s="1"/>
  <c r="G60" i="11"/>
  <c r="G61" i="11" s="1"/>
  <c r="F60" i="11"/>
  <c r="F63" i="11" s="1"/>
  <c r="E60" i="11"/>
  <c r="E61" i="11" s="1"/>
  <c r="D60" i="11"/>
  <c r="D62" i="11" s="1"/>
  <c r="R55" i="11"/>
  <c r="R54" i="11"/>
  <c r="K54" i="11"/>
  <c r="J54" i="11"/>
  <c r="I54" i="11"/>
  <c r="H54" i="11"/>
  <c r="G54" i="11"/>
  <c r="F54" i="11"/>
  <c r="E54" i="11"/>
  <c r="D54" i="11"/>
  <c r="C54" i="11"/>
  <c r="B54" i="11"/>
  <c r="K53" i="11"/>
  <c r="J53" i="11"/>
  <c r="I53" i="11"/>
  <c r="H53" i="11"/>
  <c r="G53" i="11"/>
  <c r="F53" i="11"/>
  <c r="E53" i="11"/>
  <c r="D53" i="11"/>
  <c r="C53" i="11"/>
  <c r="B53" i="11"/>
  <c r="K52" i="11"/>
  <c r="J52" i="11"/>
  <c r="I52" i="11"/>
  <c r="H52" i="11"/>
  <c r="G52" i="11"/>
  <c r="F52" i="11"/>
  <c r="E52" i="11"/>
  <c r="D52" i="11"/>
  <c r="C52" i="11"/>
  <c r="B52" i="11"/>
  <c r="D25" i="11"/>
  <c r="C25" i="11"/>
  <c r="E22" i="11"/>
  <c r="E21" i="11"/>
  <c r="E20" i="11"/>
  <c r="E18" i="11"/>
  <c r="E17" i="11"/>
  <c r="B13" i="11"/>
  <c r="D10" i="11"/>
  <c r="E10" i="11" s="1"/>
  <c r="N42" i="11" s="1"/>
  <c r="C9" i="11"/>
  <c r="N44" i="11" s="1"/>
  <c r="D106" i="12" s="1"/>
  <c r="P137" i="8"/>
  <c r="P136" i="8"/>
  <c r="P135" i="8"/>
  <c r="P134" i="8"/>
  <c r="P133" i="8"/>
  <c r="D75" i="5"/>
  <c r="D4" i="8"/>
  <c r="G88" i="5" s="1"/>
  <c r="B94" i="5"/>
  <c r="D94" i="5"/>
  <c r="F94" i="5"/>
  <c r="H94" i="5"/>
  <c r="J94" i="5"/>
  <c r="B95" i="5"/>
  <c r="C95" i="5"/>
  <c r="E95" i="5"/>
  <c r="G95" i="5"/>
  <c r="I95" i="5"/>
  <c r="K95" i="5"/>
  <c r="B96" i="5"/>
  <c r="B97" i="5"/>
  <c r="B98" i="5"/>
  <c r="B99" i="5"/>
  <c r="C99" i="5"/>
  <c r="E99" i="5"/>
  <c r="G99" i="5"/>
  <c r="I99" i="5"/>
  <c r="K99" i="5"/>
  <c r="M99" i="5"/>
  <c r="O99" i="5"/>
  <c r="Q99" i="5"/>
  <c r="S99" i="5"/>
  <c r="U99" i="5"/>
  <c r="B100" i="5"/>
  <c r="B101" i="5"/>
  <c r="I9" i="5"/>
  <c r="K9" i="5"/>
  <c r="E9" i="5"/>
  <c r="E7" i="5"/>
  <c r="E8" i="5"/>
  <c r="G8" i="5"/>
  <c r="K8" i="5" s="1"/>
  <c r="G7" i="5"/>
  <c r="I7" i="5" s="1"/>
  <c r="B37" i="6"/>
  <c r="B20" i="6"/>
  <c r="D74" i="5"/>
  <c r="C75" i="5"/>
  <c r="C74" i="5"/>
  <c r="D68" i="1"/>
  <c r="E68" i="1"/>
  <c r="F68" i="1"/>
  <c r="G68" i="1"/>
  <c r="H68" i="1"/>
  <c r="I68" i="1"/>
  <c r="J68" i="1"/>
  <c r="C68" i="1"/>
  <c r="B61" i="1"/>
  <c r="L102" i="9"/>
  <c r="AA88" i="9"/>
  <c r="Z88" i="9"/>
  <c r="Y88" i="9"/>
  <c r="X88" i="9"/>
  <c r="W88" i="9"/>
  <c r="V88" i="9"/>
  <c r="U88" i="9"/>
  <c r="T88" i="9"/>
  <c r="S88" i="9"/>
  <c r="R88" i="9"/>
  <c r="AA73" i="9"/>
  <c r="Z73" i="9"/>
  <c r="Y73" i="9"/>
  <c r="X73" i="9"/>
  <c r="W73" i="9"/>
  <c r="V73" i="9"/>
  <c r="U73" i="9"/>
  <c r="T73" i="9"/>
  <c r="S73" i="9"/>
  <c r="R73" i="9"/>
  <c r="AA71" i="9"/>
  <c r="Z71" i="9"/>
  <c r="Y71" i="9"/>
  <c r="X71" i="9"/>
  <c r="W71" i="9"/>
  <c r="V71" i="9"/>
  <c r="U71" i="9"/>
  <c r="T71" i="9"/>
  <c r="S71" i="9"/>
  <c r="R71" i="9"/>
  <c r="I54" i="9"/>
  <c r="J48" i="9"/>
  <c r="H48" i="9"/>
  <c r="D48" i="9"/>
  <c r="J47" i="9"/>
  <c r="G47" i="9"/>
  <c r="J46" i="9"/>
  <c r="H46" i="9"/>
  <c r="F46" i="9"/>
  <c r="D46" i="9"/>
  <c r="J45" i="9"/>
  <c r="I45" i="9"/>
  <c r="I48" i="9" s="1"/>
  <c r="H45" i="9"/>
  <c r="G45" i="9"/>
  <c r="F45" i="9"/>
  <c r="F47" i="9" s="1"/>
  <c r="E45" i="9"/>
  <c r="D45" i="9"/>
  <c r="D47" i="9" s="1"/>
  <c r="D49" i="9" s="1"/>
  <c r="D41" i="9"/>
  <c r="R40" i="9"/>
  <c r="K40" i="9"/>
  <c r="K41" i="9" s="1"/>
  <c r="D40" i="9"/>
  <c r="B40" i="9"/>
  <c r="B54" i="9" s="1"/>
  <c r="R39" i="9"/>
  <c r="K39" i="9"/>
  <c r="J39" i="9"/>
  <c r="I39" i="9"/>
  <c r="H39" i="9"/>
  <c r="G39" i="9"/>
  <c r="F39" i="9"/>
  <c r="E39" i="9"/>
  <c r="D39" i="9"/>
  <c r="C39" i="9"/>
  <c r="B39" i="9"/>
  <c r="K38" i="9"/>
  <c r="J38" i="9"/>
  <c r="I38" i="9"/>
  <c r="H38" i="9"/>
  <c r="H40" i="9" s="1"/>
  <c r="G38" i="9"/>
  <c r="F38" i="9"/>
  <c r="E38" i="9"/>
  <c r="D38" i="9"/>
  <c r="C38" i="9"/>
  <c r="B38" i="9"/>
  <c r="K37" i="9"/>
  <c r="J37" i="9"/>
  <c r="J40" i="9" s="1"/>
  <c r="I37" i="9"/>
  <c r="I40" i="9" s="1"/>
  <c r="H37" i="9"/>
  <c r="G37" i="9"/>
  <c r="F37" i="9"/>
  <c r="F40" i="9" s="1"/>
  <c r="F54" i="9" s="1"/>
  <c r="E37" i="9"/>
  <c r="D37" i="9"/>
  <c r="C37" i="9"/>
  <c r="C40" i="9" s="1"/>
  <c r="B37" i="9"/>
  <c r="E23" i="9"/>
  <c r="D20" i="9"/>
  <c r="C20" i="9"/>
  <c r="E17" i="9"/>
  <c r="E16" i="9"/>
  <c r="E15" i="9"/>
  <c r="E13" i="9"/>
  <c r="E12" i="9"/>
  <c r="B8" i="9"/>
  <c r="E5" i="9"/>
  <c r="D5" i="9"/>
  <c r="C4" i="9"/>
  <c r="D77" i="5"/>
  <c r="F77" i="5"/>
  <c r="H77" i="5"/>
  <c r="J77" i="5"/>
  <c r="E78" i="5"/>
  <c r="G78" i="5"/>
  <c r="I78" i="5"/>
  <c r="K78" i="5"/>
  <c r="C78" i="5"/>
  <c r="B29" i="5"/>
  <c r="B151" i="5"/>
  <c r="B157" i="5"/>
  <c r="B156" i="5"/>
  <c r="B149" i="5"/>
  <c r="B148" i="5"/>
  <c r="B150" i="5"/>
  <c r="L102" i="1"/>
  <c r="B40" i="5"/>
  <c r="E40" i="5"/>
  <c r="E41" i="5" s="1"/>
  <c r="G40" i="5"/>
  <c r="G41" i="5" s="1"/>
  <c r="I40" i="5"/>
  <c r="I41" i="5" s="1"/>
  <c r="K40" i="5"/>
  <c r="L40" i="5" s="1"/>
  <c r="L41" i="5" s="1"/>
  <c r="M40" i="5"/>
  <c r="N40" i="5" s="1"/>
  <c r="N41" i="5" s="1"/>
  <c r="O40" i="5"/>
  <c r="P40" i="5" s="1"/>
  <c r="P41" i="5" s="1"/>
  <c r="Q40" i="5"/>
  <c r="Q41" i="5" s="1"/>
  <c r="S40" i="5"/>
  <c r="S41" i="5" s="1"/>
  <c r="U40" i="5"/>
  <c r="U41" i="5" s="1"/>
  <c r="B47" i="5"/>
  <c r="B48" i="5"/>
  <c r="B49" i="5"/>
  <c r="D36" i="5"/>
  <c r="F36" i="5" s="1"/>
  <c r="H36" i="5" s="1"/>
  <c r="J36" i="5" s="1"/>
  <c r="B81" i="5"/>
  <c r="B82" i="5"/>
  <c r="C82" i="5"/>
  <c r="E82" i="5"/>
  <c r="G82" i="5"/>
  <c r="I82" i="5"/>
  <c r="K82" i="5"/>
  <c r="M82" i="5"/>
  <c r="O82" i="5"/>
  <c r="Q82" i="5"/>
  <c r="S82" i="5"/>
  <c r="U82" i="5"/>
  <c r="B84" i="5"/>
  <c r="B42" i="8"/>
  <c r="F176" i="8"/>
  <c r="F175" i="8"/>
  <c r="F174" i="8"/>
  <c r="B174" i="8"/>
  <c r="B170" i="8"/>
  <c r="O169" i="8" s="1"/>
  <c r="M169" i="8"/>
  <c r="E169" i="8"/>
  <c r="M172" i="8" s="1"/>
  <c r="D169" i="8"/>
  <c r="M171" i="8" s="1"/>
  <c r="C169" i="8"/>
  <c r="C174" i="8" s="1"/>
  <c r="M165" i="8"/>
  <c r="M164" i="8"/>
  <c r="A116" i="8"/>
  <c r="B83" i="5" s="1"/>
  <c r="C112" i="8"/>
  <c r="E112" i="8" s="1"/>
  <c r="G112" i="8" s="1"/>
  <c r="I112" i="8" s="1"/>
  <c r="J79" i="5" s="1"/>
  <c r="AA103" i="8"/>
  <c r="Z103" i="8"/>
  <c r="Y103" i="8"/>
  <c r="X103" i="8"/>
  <c r="W103" i="8"/>
  <c r="V103" i="8"/>
  <c r="U103" i="8"/>
  <c r="T103" i="8"/>
  <c r="S103" i="8"/>
  <c r="R103" i="8"/>
  <c r="Q94" i="8"/>
  <c r="Q93" i="8"/>
  <c r="AA88" i="8"/>
  <c r="Z88" i="8"/>
  <c r="Y88" i="8"/>
  <c r="X88" i="8"/>
  <c r="W88" i="8"/>
  <c r="V88" i="8"/>
  <c r="U88" i="8"/>
  <c r="T88" i="8"/>
  <c r="S88" i="8"/>
  <c r="R88" i="8"/>
  <c r="AA86" i="8"/>
  <c r="Z86" i="8"/>
  <c r="Y86" i="8"/>
  <c r="X86" i="8"/>
  <c r="W86" i="8"/>
  <c r="V86" i="8"/>
  <c r="U86" i="8"/>
  <c r="T86" i="8"/>
  <c r="S86" i="8"/>
  <c r="R86" i="8"/>
  <c r="A82" i="8"/>
  <c r="A81" i="8"/>
  <c r="A80" i="8"/>
  <c r="A79" i="8"/>
  <c r="A78" i="8"/>
  <c r="A77" i="8"/>
  <c r="K75" i="8"/>
  <c r="J75" i="8"/>
  <c r="I75" i="8"/>
  <c r="H75" i="8"/>
  <c r="G75" i="8"/>
  <c r="F75" i="8"/>
  <c r="E75" i="8"/>
  <c r="D75" i="8"/>
  <c r="C75" i="8"/>
  <c r="C76" i="8" s="1"/>
  <c r="B75" i="8"/>
  <c r="A75" i="8"/>
  <c r="K73" i="8"/>
  <c r="J73" i="8"/>
  <c r="I73" i="8"/>
  <c r="H73" i="8"/>
  <c r="G73" i="8"/>
  <c r="F73" i="8"/>
  <c r="E73" i="8"/>
  <c r="D73" i="8"/>
  <c r="C73" i="8"/>
  <c r="B73" i="8"/>
  <c r="A73" i="8"/>
  <c r="J60" i="8"/>
  <c r="J62" i="8" s="1"/>
  <c r="I60" i="8"/>
  <c r="I61" i="8" s="1"/>
  <c r="H60" i="8"/>
  <c r="H62" i="8" s="1"/>
  <c r="G60" i="8"/>
  <c r="G61" i="8" s="1"/>
  <c r="F60" i="8"/>
  <c r="F63" i="8" s="1"/>
  <c r="E60" i="8"/>
  <c r="E62" i="8" s="1"/>
  <c r="D60" i="8"/>
  <c r="D63" i="8" s="1"/>
  <c r="R55" i="8"/>
  <c r="R54" i="8"/>
  <c r="K54" i="8"/>
  <c r="J54" i="8"/>
  <c r="I54" i="8"/>
  <c r="H54" i="8"/>
  <c r="G54" i="8"/>
  <c r="F54" i="8"/>
  <c r="E54" i="8"/>
  <c r="D54" i="8"/>
  <c r="C54" i="8"/>
  <c r="B54" i="8"/>
  <c r="K53" i="8"/>
  <c r="J53" i="8"/>
  <c r="I53" i="8"/>
  <c r="H53" i="8"/>
  <c r="G53" i="8"/>
  <c r="F53" i="8"/>
  <c r="E53" i="8"/>
  <c r="D53" i="8"/>
  <c r="C53" i="8"/>
  <c r="B53" i="8"/>
  <c r="K52" i="8"/>
  <c r="J52" i="8"/>
  <c r="I52" i="8"/>
  <c r="H52" i="8"/>
  <c r="G52" i="8"/>
  <c r="F52" i="8"/>
  <c r="E52" i="8"/>
  <c r="D52" i="8"/>
  <c r="C52" i="8"/>
  <c r="B52" i="8"/>
  <c r="E28" i="8"/>
  <c r="D25" i="8"/>
  <c r="C25" i="8"/>
  <c r="E22" i="8"/>
  <c r="E21" i="8"/>
  <c r="E20" i="8"/>
  <c r="E18" i="8"/>
  <c r="E17" i="8"/>
  <c r="B13" i="8"/>
  <c r="D10" i="8"/>
  <c r="E10" i="8" s="1"/>
  <c r="N43" i="8" s="1"/>
  <c r="C105" i="12" s="1"/>
  <c r="C9" i="8"/>
  <c r="E8" i="6"/>
  <c r="B35" i="6"/>
  <c r="B34" i="6"/>
  <c r="B33" i="6"/>
  <c r="B17" i="6"/>
  <c r="B16" i="6"/>
  <c r="B18" i="6" s="1"/>
  <c r="B6" i="6"/>
  <c r="C6" i="6"/>
  <c r="D6" i="6"/>
  <c r="E6" i="6"/>
  <c r="F6" i="6"/>
  <c r="G6" i="6"/>
  <c r="H6" i="6"/>
  <c r="I6" i="6"/>
  <c r="J6" i="6"/>
  <c r="K6" i="6"/>
  <c r="B4" i="6"/>
  <c r="V6" i="5"/>
  <c r="T6" i="5"/>
  <c r="R6" i="5"/>
  <c r="P6" i="5"/>
  <c r="N6" i="5"/>
  <c r="J6" i="5"/>
  <c r="K6" i="5" s="1"/>
  <c r="L6" i="5" s="1"/>
  <c r="H6" i="5"/>
  <c r="F6" i="5"/>
  <c r="D6" i="5"/>
  <c r="F66" i="5"/>
  <c r="F67" i="5" s="1"/>
  <c r="H66" i="5"/>
  <c r="H67" i="5" s="1"/>
  <c r="J66" i="5"/>
  <c r="J67" i="5" s="1"/>
  <c r="L66" i="5"/>
  <c r="L67" i="5" s="1"/>
  <c r="N66" i="5"/>
  <c r="N67" i="5" s="1"/>
  <c r="P66" i="5"/>
  <c r="P67" i="5" s="1"/>
  <c r="R66" i="5"/>
  <c r="R67" i="5" s="1"/>
  <c r="T66" i="5"/>
  <c r="T67" i="5" s="1"/>
  <c r="V66" i="5"/>
  <c r="V67" i="5" s="1"/>
  <c r="D62" i="5"/>
  <c r="F62" i="5" s="1"/>
  <c r="H62" i="5" s="1"/>
  <c r="J62" i="5" s="1"/>
  <c r="D47" i="5"/>
  <c r="F47" i="5"/>
  <c r="H47" i="5"/>
  <c r="J47" i="5"/>
  <c r="E48" i="5"/>
  <c r="G48" i="5"/>
  <c r="I48" i="5"/>
  <c r="K48" i="5"/>
  <c r="B51" i="5"/>
  <c r="B52" i="5"/>
  <c r="C52" i="5"/>
  <c r="C65" i="5" s="1"/>
  <c r="E52" i="5"/>
  <c r="E65" i="5" s="1"/>
  <c r="G52" i="5"/>
  <c r="G65" i="5" s="1"/>
  <c r="I52" i="5"/>
  <c r="I65" i="5" s="1"/>
  <c r="K52" i="5"/>
  <c r="K65" i="5" s="1"/>
  <c r="M52" i="5"/>
  <c r="M65" i="5" s="1"/>
  <c r="O52" i="5"/>
  <c r="O65" i="5" s="1"/>
  <c r="Q52" i="5"/>
  <c r="Q65" i="5" s="1"/>
  <c r="S52" i="5"/>
  <c r="S65" i="5" s="1"/>
  <c r="U52" i="5"/>
  <c r="U65" i="5" s="1"/>
  <c r="B53" i="5"/>
  <c r="E53" i="5"/>
  <c r="G53" i="5"/>
  <c r="I53" i="5"/>
  <c r="I66" i="5" s="1"/>
  <c r="I67" i="5" s="1"/>
  <c r="K53" i="5"/>
  <c r="K66" i="5" s="1"/>
  <c r="K67" i="5" s="1"/>
  <c r="M53" i="5"/>
  <c r="O53" i="5"/>
  <c r="O66" i="5" s="1"/>
  <c r="O67" i="5" s="1"/>
  <c r="Q53" i="5"/>
  <c r="Q66" i="5" s="1"/>
  <c r="Q67" i="5" s="1"/>
  <c r="S53" i="5"/>
  <c r="S66" i="5" s="1"/>
  <c r="S67" i="5" s="1"/>
  <c r="U53" i="5"/>
  <c r="B54" i="5"/>
  <c r="B55" i="5"/>
  <c r="E23" i="5"/>
  <c r="E27" i="5" s="1"/>
  <c r="G23" i="5"/>
  <c r="G26" i="5" s="1"/>
  <c r="I23" i="5"/>
  <c r="I26" i="5" s="1"/>
  <c r="M23" i="5"/>
  <c r="M27" i="5" s="1"/>
  <c r="O23" i="5"/>
  <c r="O26" i="5" s="1"/>
  <c r="Q23" i="5"/>
  <c r="Q26" i="5" s="1"/>
  <c r="S23" i="5"/>
  <c r="S25" i="5" s="1"/>
  <c r="U23" i="5"/>
  <c r="U27" i="5" s="1"/>
  <c r="C23" i="5"/>
  <c r="C25" i="5" s="1"/>
  <c r="E14" i="5"/>
  <c r="G14" i="5"/>
  <c r="I14" i="5"/>
  <c r="M14" i="5"/>
  <c r="O14" i="5"/>
  <c r="Q14" i="5"/>
  <c r="S14" i="5"/>
  <c r="U14" i="5"/>
  <c r="C14" i="5"/>
  <c r="E16" i="5"/>
  <c r="D12" i="5"/>
  <c r="D14" i="5" s="1"/>
  <c r="F12" i="5"/>
  <c r="F14" i="5" s="1"/>
  <c r="H12" i="5"/>
  <c r="H16" i="5" s="1"/>
  <c r="J12" i="5"/>
  <c r="K12" i="5" s="1"/>
  <c r="K14" i="5" s="1"/>
  <c r="N12" i="5"/>
  <c r="N14" i="5" s="1"/>
  <c r="P12" i="5"/>
  <c r="P14" i="5" s="1"/>
  <c r="R12" i="5"/>
  <c r="R16" i="5" s="1"/>
  <c r="T12" i="5"/>
  <c r="T14" i="5" s="1"/>
  <c r="V12" i="5"/>
  <c r="V16" i="5" s="1"/>
  <c r="U16" i="5"/>
  <c r="S16" i="5"/>
  <c r="Q16" i="5"/>
  <c r="O16" i="5"/>
  <c r="M16" i="5"/>
  <c r="I16" i="5"/>
  <c r="G16" i="5"/>
  <c r="C16" i="5"/>
  <c r="U15" i="5"/>
  <c r="S15" i="5"/>
  <c r="Q15" i="5"/>
  <c r="O15" i="5"/>
  <c r="M15" i="5"/>
  <c r="I15" i="5"/>
  <c r="G15" i="5"/>
  <c r="E15" i="5"/>
  <c r="C15" i="5"/>
  <c r="J49" i="5"/>
  <c r="S66" i="2"/>
  <c r="R59" i="2"/>
  <c r="S59" i="2"/>
  <c r="R60" i="2"/>
  <c r="S60" i="2"/>
  <c r="R61" i="2"/>
  <c r="S61" i="2"/>
  <c r="R62" i="2"/>
  <c r="S62" i="2"/>
  <c r="T62" i="2" s="1"/>
  <c r="R63" i="2"/>
  <c r="S63" i="2"/>
  <c r="T63" i="2" s="1"/>
  <c r="R64" i="2"/>
  <c r="S64" i="2"/>
  <c r="S8" i="2"/>
  <c r="S9" i="2"/>
  <c r="S10" i="2"/>
  <c r="S11" i="2"/>
  <c r="S12" i="2"/>
  <c r="S13" i="2"/>
  <c r="S14" i="2"/>
  <c r="S15" i="2"/>
  <c r="S16" i="2"/>
  <c r="S17" i="2"/>
  <c r="S18" i="2"/>
  <c r="S19" i="2"/>
  <c r="S20" i="2"/>
  <c r="S21" i="2"/>
  <c r="S7" i="2"/>
  <c r="N10" i="2"/>
  <c r="N11" i="2"/>
  <c r="O11" i="2" s="1"/>
  <c r="P11" i="2" s="1"/>
  <c r="N12" i="2"/>
  <c r="O13" i="2" s="1"/>
  <c r="P13" i="2" s="1"/>
  <c r="N13" i="2"/>
  <c r="N14" i="2"/>
  <c r="N15" i="2"/>
  <c r="N16" i="2"/>
  <c r="N17" i="2"/>
  <c r="O37" i="2" s="1"/>
  <c r="N18" i="2"/>
  <c r="N19" i="2"/>
  <c r="O39" i="2" s="1"/>
  <c r="N20" i="2"/>
  <c r="O21" i="2" s="1"/>
  <c r="P21" i="2" s="1"/>
  <c r="N21" i="2"/>
  <c r="N8" i="2"/>
  <c r="N7" i="2"/>
  <c r="N6" i="2"/>
  <c r="N9" i="2"/>
  <c r="O25" i="2"/>
  <c r="O30" i="2"/>
  <c r="O33" i="2"/>
  <c r="O34" i="2"/>
  <c r="O35" i="2"/>
  <c r="O36" i="2"/>
  <c r="O38" i="2"/>
  <c r="O41" i="2"/>
  <c r="N26" i="2"/>
  <c r="N27" i="2"/>
  <c r="N28" i="2"/>
  <c r="N29" i="2"/>
  <c r="N30" i="2"/>
  <c r="N31" i="2"/>
  <c r="N32" i="2"/>
  <c r="N33" i="2"/>
  <c r="N34" i="2"/>
  <c r="N35" i="2"/>
  <c r="N36" i="2"/>
  <c r="N37" i="2"/>
  <c r="N38" i="2"/>
  <c r="N39" i="2"/>
  <c r="N40" i="2"/>
  <c r="N41" i="2"/>
  <c r="A27" i="2"/>
  <c r="A28" i="2"/>
  <c r="A29" i="2"/>
  <c r="A30" i="2"/>
  <c r="A31" i="2"/>
  <c r="A32" i="2"/>
  <c r="A33" i="2"/>
  <c r="A34" i="2"/>
  <c r="A35" i="2"/>
  <c r="A36" i="2"/>
  <c r="A37" i="2"/>
  <c r="A38" i="2"/>
  <c r="A39" i="2"/>
  <c r="A40" i="2"/>
  <c r="A41" i="2"/>
  <c r="B27" i="2"/>
  <c r="B28" i="2"/>
  <c r="B29" i="2"/>
  <c r="B30" i="2"/>
  <c r="B31" i="2"/>
  <c r="B32" i="2"/>
  <c r="B33" i="2"/>
  <c r="B34" i="2"/>
  <c r="B35" i="2"/>
  <c r="B36" i="2"/>
  <c r="B37" i="2"/>
  <c r="B38" i="2"/>
  <c r="B39" i="2"/>
  <c r="B40" i="2"/>
  <c r="B41" i="2"/>
  <c r="O12" i="2"/>
  <c r="P12" i="2" s="1"/>
  <c r="O15" i="2"/>
  <c r="P15" i="2" s="1"/>
  <c r="O18" i="2"/>
  <c r="P18" i="2" s="1"/>
  <c r="R21" i="2"/>
  <c r="R20" i="2"/>
  <c r="R19" i="2"/>
  <c r="R18" i="2"/>
  <c r="R17" i="2"/>
  <c r="R16" i="2"/>
  <c r="R15" i="2"/>
  <c r="R14" i="2"/>
  <c r="R13" i="2"/>
  <c r="R12" i="2"/>
  <c r="R11" i="2"/>
  <c r="R10" i="2"/>
  <c r="R9" i="2"/>
  <c r="R8" i="2"/>
  <c r="R7" i="2"/>
  <c r="R6" i="2"/>
  <c r="S6" i="2" s="1"/>
  <c r="F6" i="2"/>
  <c r="E7" i="2"/>
  <c r="F7" i="2" s="1"/>
  <c r="E8" i="2"/>
  <c r="F8" i="2" s="1"/>
  <c r="E9" i="2"/>
  <c r="F9" i="2" s="1"/>
  <c r="E10" i="2"/>
  <c r="F10" i="2" s="1"/>
  <c r="E11" i="2"/>
  <c r="F11" i="2" s="1"/>
  <c r="E12" i="2"/>
  <c r="F12" i="2" s="1"/>
  <c r="E13" i="2"/>
  <c r="F13" i="2" s="1"/>
  <c r="E14" i="2"/>
  <c r="F14" i="2" s="1"/>
  <c r="E15" i="2"/>
  <c r="F15" i="2" s="1"/>
  <c r="E16" i="2"/>
  <c r="F16" i="2" s="1"/>
  <c r="E17" i="2"/>
  <c r="F17" i="2" s="1"/>
  <c r="E18" i="2"/>
  <c r="F18" i="2" s="1"/>
  <c r="E19" i="2"/>
  <c r="F19" i="2" s="1"/>
  <c r="E20" i="2"/>
  <c r="F20" i="2" s="1"/>
  <c r="E21" i="2"/>
  <c r="F21" i="2" s="1"/>
  <c r="E6" i="2"/>
  <c r="C6" i="2"/>
  <c r="B7" i="2"/>
  <c r="C7" i="2" s="1"/>
  <c r="B8" i="2"/>
  <c r="C8" i="2" s="1"/>
  <c r="B9" i="2"/>
  <c r="C9" i="2" s="1"/>
  <c r="B10" i="2"/>
  <c r="C10" i="2" s="1"/>
  <c r="B11" i="2"/>
  <c r="C11" i="2" s="1"/>
  <c r="B12" i="2"/>
  <c r="C12" i="2" s="1"/>
  <c r="B13" i="2"/>
  <c r="C13" i="2" s="1"/>
  <c r="B14" i="2"/>
  <c r="C14" i="2" s="1"/>
  <c r="B15" i="2"/>
  <c r="C15" i="2" s="1"/>
  <c r="B16" i="2"/>
  <c r="C16" i="2" s="1"/>
  <c r="B17" i="2"/>
  <c r="C17" i="2" s="1"/>
  <c r="B18" i="2"/>
  <c r="C18" i="2" s="1"/>
  <c r="B19" i="2"/>
  <c r="C19" i="2" s="1"/>
  <c r="B20" i="2"/>
  <c r="C20" i="2" s="1"/>
  <c r="B21" i="2"/>
  <c r="C21" i="2" s="1"/>
  <c r="B6" i="2"/>
  <c r="F160" i="1"/>
  <c r="F159" i="1"/>
  <c r="F158" i="1"/>
  <c r="M153" i="1"/>
  <c r="K8" i="12" l="1"/>
  <c r="G19" i="12" s="1"/>
  <c r="O167" i="13"/>
  <c r="O170" i="13"/>
  <c r="U129" i="5"/>
  <c r="E129" i="5"/>
  <c r="S129" i="5"/>
  <c r="Q129" i="5"/>
  <c r="O129" i="5"/>
  <c r="M129" i="5"/>
  <c r="K129" i="5"/>
  <c r="D168" i="14"/>
  <c r="O169" i="14" s="1"/>
  <c r="C139" i="5"/>
  <c r="C140" i="5" s="1"/>
  <c r="O167" i="14"/>
  <c r="O170" i="14"/>
  <c r="K41" i="14"/>
  <c r="K76" i="14" s="1"/>
  <c r="F41" i="14"/>
  <c r="F76" i="14" s="1"/>
  <c r="F80" i="14" s="1"/>
  <c r="G41" i="14"/>
  <c r="G76" i="14" s="1"/>
  <c r="G162" i="13"/>
  <c r="G57" i="13"/>
  <c r="W104" i="13"/>
  <c r="W89" i="13"/>
  <c r="W105" i="13"/>
  <c r="W90" i="13"/>
  <c r="E11" i="13"/>
  <c r="N43" i="13" s="1"/>
  <c r="F25" i="13"/>
  <c r="F34" i="13" s="1"/>
  <c r="M34" i="13" s="1"/>
  <c r="L133" i="13" s="1"/>
  <c r="B156" i="13" s="1"/>
  <c r="Y105" i="13"/>
  <c r="Y90" i="13"/>
  <c r="C145" i="13"/>
  <c r="C69" i="13"/>
  <c r="C56" i="13"/>
  <c r="K145" i="13"/>
  <c r="K69" i="13"/>
  <c r="K56" i="13"/>
  <c r="Y104" i="13"/>
  <c r="Y89" i="13"/>
  <c r="I162" i="13"/>
  <c r="I57" i="13"/>
  <c r="J64" i="13"/>
  <c r="J65" i="13" s="1"/>
  <c r="B149" i="13"/>
  <c r="D177" i="13"/>
  <c r="Q169" i="13" s="1"/>
  <c r="D176" i="13"/>
  <c r="R169" i="13" s="1"/>
  <c r="B145" i="13"/>
  <c r="B100" i="13"/>
  <c r="M55" i="13"/>
  <c r="B69" i="13"/>
  <c r="B56" i="13"/>
  <c r="E12" i="13"/>
  <c r="M12" i="13" s="1"/>
  <c r="G10" i="13"/>
  <c r="D69" i="13"/>
  <c r="D56" i="13"/>
  <c r="B80" i="13"/>
  <c r="B82" i="13"/>
  <c r="B78" i="13"/>
  <c r="B79" i="13"/>
  <c r="B116" i="13"/>
  <c r="E177" i="13"/>
  <c r="Q170" i="13" s="1"/>
  <c r="E176" i="13"/>
  <c r="R170" i="13" s="1"/>
  <c r="J145" i="13"/>
  <c r="J69" i="13"/>
  <c r="J56" i="13"/>
  <c r="H57" i="13"/>
  <c r="X104" i="13"/>
  <c r="X89" i="13"/>
  <c r="H162" i="13"/>
  <c r="E56" i="13"/>
  <c r="E69" i="13"/>
  <c r="F177" i="13"/>
  <c r="F176" i="13"/>
  <c r="F56" i="13"/>
  <c r="F69" i="13"/>
  <c r="E30" i="13"/>
  <c r="X105" i="13"/>
  <c r="X90" i="13"/>
  <c r="D61" i="13"/>
  <c r="E62" i="13"/>
  <c r="E64" i="13" s="1"/>
  <c r="F63" i="13"/>
  <c r="F64" i="13" s="1"/>
  <c r="M168" i="13"/>
  <c r="G69" i="13"/>
  <c r="O168" i="13"/>
  <c r="D4" i="13"/>
  <c r="H69" i="13"/>
  <c r="G145" i="13"/>
  <c r="O169" i="13"/>
  <c r="J63" i="13"/>
  <c r="I69" i="13"/>
  <c r="H145" i="13"/>
  <c r="J62" i="13"/>
  <c r="E112" i="13"/>
  <c r="I145" i="13"/>
  <c r="D63" i="13"/>
  <c r="N42" i="14"/>
  <c r="G10" i="14"/>
  <c r="Y90" i="14"/>
  <c r="Y105" i="14"/>
  <c r="G56" i="14"/>
  <c r="G145" i="14"/>
  <c r="G69" i="14"/>
  <c r="E69" i="14"/>
  <c r="E56" i="14"/>
  <c r="X105" i="14"/>
  <c r="X90" i="14"/>
  <c r="H56" i="14"/>
  <c r="H145" i="14"/>
  <c r="H69" i="14"/>
  <c r="F55" i="14"/>
  <c r="D63" i="14"/>
  <c r="D61" i="14"/>
  <c r="D64" i="14" s="1"/>
  <c r="D65" i="14" s="1"/>
  <c r="F61" i="14"/>
  <c r="F64" i="14" s="1"/>
  <c r="F65" i="14" s="1"/>
  <c r="D177" i="14"/>
  <c r="Q169" i="14" s="1"/>
  <c r="D176" i="14"/>
  <c r="R169" i="14" s="1"/>
  <c r="I145" i="14"/>
  <c r="I69" i="14"/>
  <c r="J61" i="14"/>
  <c r="J62" i="14"/>
  <c r="J63" i="14"/>
  <c r="J41" i="14"/>
  <c r="J76" i="14" s="1"/>
  <c r="I41" i="14"/>
  <c r="I76" i="14" s="1"/>
  <c r="H41" i="14"/>
  <c r="H76" i="14" s="1"/>
  <c r="D41" i="14"/>
  <c r="D76" i="14" s="1"/>
  <c r="E12" i="14"/>
  <c r="M12" i="14" s="1"/>
  <c r="F177" i="14"/>
  <c r="F176" i="14"/>
  <c r="E62" i="14"/>
  <c r="E64" i="14" s="1"/>
  <c r="I56" i="14"/>
  <c r="G65" i="14"/>
  <c r="B145" i="14"/>
  <c r="B100" i="14"/>
  <c r="B69" i="14"/>
  <c r="B56" i="14"/>
  <c r="E11" i="14"/>
  <c r="N43" i="14" s="1"/>
  <c r="F25" i="14"/>
  <c r="F34" i="14" s="1"/>
  <c r="M34" i="14" s="1"/>
  <c r="L133" i="14" s="1"/>
  <c r="B156" i="14" s="1"/>
  <c r="C41" i="14"/>
  <c r="F62" i="14"/>
  <c r="D69" i="14"/>
  <c r="B82" i="14"/>
  <c r="B79" i="14"/>
  <c r="B80" i="14"/>
  <c r="B116" i="14"/>
  <c r="J69" i="14"/>
  <c r="J56" i="14"/>
  <c r="D56" i="14"/>
  <c r="E41" i="14"/>
  <c r="E76" i="14" s="1"/>
  <c r="C55" i="14"/>
  <c r="M55" i="14" s="1"/>
  <c r="K55" i="14"/>
  <c r="M168" i="14"/>
  <c r="O168" i="14"/>
  <c r="E176" i="14"/>
  <c r="R170" i="14" s="1"/>
  <c r="E112" i="14"/>
  <c r="D5" i="11"/>
  <c r="H41" i="11" s="1"/>
  <c r="H76" i="11" s="1"/>
  <c r="L10" i="12"/>
  <c r="F21" i="12" s="1"/>
  <c r="M10" i="12"/>
  <c r="E21" i="12" s="1"/>
  <c r="L8" i="12"/>
  <c r="F19" i="12" s="1"/>
  <c r="B108" i="12"/>
  <c r="L9" i="12"/>
  <c r="F20" i="12" s="1"/>
  <c r="K10" i="12"/>
  <c r="G21" i="12" s="1"/>
  <c r="M8" i="12"/>
  <c r="E19" i="12" s="1"/>
  <c r="L11" i="12"/>
  <c r="F22" i="12" s="1"/>
  <c r="K9" i="12"/>
  <c r="G20" i="12" s="1"/>
  <c r="M9" i="12"/>
  <c r="E20" i="12" s="1"/>
  <c r="F55" i="11"/>
  <c r="F56" i="11" s="1"/>
  <c r="D55" i="11"/>
  <c r="D69" i="11" s="1"/>
  <c r="G55" i="11"/>
  <c r="G56" i="11" s="1"/>
  <c r="F175" i="11"/>
  <c r="F177" i="11" s="1"/>
  <c r="H109" i="5"/>
  <c r="M116" i="5"/>
  <c r="O116" i="5"/>
  <c r="P116" i="5"/>
  <c r="Q116" i="5"/>
  <c r="K116" i="5"/>
  <c r="E116" i="5"/>
  <c r="S116" i="5"/>
  <c r="G116" i="5"/>
  <c r="U116" i="5"/>
  <c r="I116" i="5"/>
  <c r="F109" i="5"/>
  <c r="E25" i="11"/>
  <c r="I55" i="11"/>
  <c r="I69" i="11" s="1"/>
  <c r="D61" i="11"/>
  <c r="D109" i="5"/>
  <c r="J61" i="11"/>
  <c r="J64" i="11" s="1"/>
  <c r="E62" i="11"/>
  <c r="B76" i="11"/>
  <c r="H62" i="11"/>
  <c r="E63" i="11"/>
  <c r="I41" i="11"/>
  <c r="I76" i="11" s="1"/>
  <c r="I116" i="11" s="1"/>
  <c r="Q113" i="5" s="1"/>
  <c r="K7" i="5"/>
  <c r="K10" i="5" s="1"/>
  <c r="K19" i="5" s="1"/>
  <c r="K30" i="5" s="1"/>
  <c r="O167" i="11"/>
  <c r="J41" i="11"/>
  <c r="J76" i="11" s="1"/>
  <c r="F41" i="11"/>
  <c r="F76" i="11" s="1"/>
  <c r="E30" i="11"/>
  <c r="H55" i="11"/>
  <c r="H56" i="11" s="1"/>
  <c r="F62" i="11"/>
  <c r="B175" i="11"/>
  <c r="C175" i="11"/>
  <c r="C177" i="11" s="1"/>
  <c r="D41" i="11"/>
  <c r="D76" i="11" s="1"/>
  <c r="D85" i="11" s="1"/>
  <c r="B55" i="11"/>
  <c r="B145" i="11" s="1"/>
  <c r="B149" i="11" s="1"/>
  <c r="J55" i="11"/>
  <c r="J56" i="11" s="1"/>
  <c r="G63" i="11"/>
  <c r="D168" i="11"/>
  <c r="D169" i="11" s="1"/>
  <c r="N169" i="11" s="1"/>
  <c r="E175" i="11"/>
  <c r="E176" i="11" s="1"/>
  <c r="R170" i="11" s="1"/>
  <c r="K41" i="11"/>
  <c r="K76" i="11" s="1"/>
  <c r="K80" i="11" s="1"/>
  <c r="C41" i="11"/>
  <c r="C76" i="11" s="1"/>
  <c r="E55" i="11"/>
  <c r="H61" i="11"/>
  <c r="H64" i="11" s="1"/>
  <c r="H65" i="11" s="1"/>
  <c r="X90" i="11" s="1"/>
  <c r="M168" i="11"/>
  <c r="D175" i="11"/>
  <c r="D177" i="11" s="1"/>
  <c r="Q169" i="11" s="1"/>
  <c r="I56" i="11"/>
  <c r="F69" i="11"/>
  <c r="B80" i="11"/>
  <c r="B82" i="11"/>
  <c r="B79" i="11"/>
  <c r="B116" i="11"/>
  <c r="C113" i="5" s="1"/>
  <c r="B78" i="11"/>
  <c r="G57" i="11"/>
  <c r="W104" i="11"/>
  <c r="W89" i="11"/>
  <c r="C55" i="11"/>
  <c r="K55" i="11"/>
  <c r="B69" i="11"/>
  <c r="B56" i="11"/>
  <c r="E56" i="11"/>
  <c r="E69" i="11"/>
  <c r="Q168" i="11"/>
  <c r="Q167" i="11"/>
  <c r="D9" i="11"/>
  <c r="E9" i="11" s="1"/>
  <c r="F61" i="11"/>
  <c r="G62" i="11"/>
  <c r="G69" i="11"/>
  <c r="O168" i="11"/>
  <c r="I63" i="11"/>
  <c r="J65" i="11"/>
  <c r="F176" i="11"/>
  <c r="I62" i="11"/>
  <c r="D63" i="11"/>
  <c r="E168" i="11"/>
  <c r="K42" i="8"/>
  <c r="K76" i="8" s="1"/>
  <c r="U88" i="5"/>
  <c r="E88" i="5"/>
  <c r="J42" i="8"/>
  <c r="J76" i="8" s="1"/>
  <c r="S88" i="5"/>
  <c r="I42" i="8"/>
  <c r="I76" i="8" s="1"/>
  <c r="Q88" i="5"/>
  <c r="H42" i="8"/>
  <c r="H76" i="8" s="1"/>
  <c r="O88" i="5"/>
  <c r="G42" i="8"/>
  <c r="G76" i="8" s="1"/>
  <c r="M88" i="5"/>
  <c r="F42" i="8"/>
  <c r="F76" i="8" s="1"/>
  <c r="F85" i="8" s="1"/>
  <c r="F124" i="8" s="1"/>
  <c r="F125" i="8" s="1"/>
  <c r="F126" i="8" s="1"/>
  <c r="K88" i="5"/>
  <c r="E42" i="8"/>
  <c r="E76" i="8" s="1"/>
  <c r="I88" i="5"/>
  <c r="D76" i="5"/>
  <c r="D42" i="8"/>
  <c r="C88" i="5"/>
  <c r="F96" i="5"/>
  <c r="D96" i="5"/>
  <c r="G10" i="5"/>
  <c r="G19" i="5" s="1"/>
  <c r="G30" i="5" s="1"/>
  <c r="I8" i="5"/>
  <c r="I10" i="5" s="1"/>
  <c r="I19" i="5" s="1"/>
  <c r="I30" i="5" s="1"/>
  <c r="E10" i="5"/>
  <c r="E19" i="5" s="1"/>
  <c r="E30" i="5" s="1"/>
  <c r="E100" i="5"/>
  <c r="E101" i="5" s="1"/>
  <c r="T64" i="2"/>
  <c r="D8" i="6"/>
  <c r="F8" i="6"/>
  <c r="F79" i="5"/>
  <c r="D79" i="5"/>
  <c r="J41" i="9"/>
  <c r="J54" i="9"/>
  <c r="H54" i="9"/>
  <c r="H41" i="9"/>
  <c r="C41" i="9"/>
  <c r="C54" i="9"/>
  <c r="D50" i="9"/>
  <c r="AA74" i="9"/>
  <c r="G40" i="9"/>
  <c r="M40" i="9"/>
  <c r="J50" i="9"/>
  <c r="E20" i="9"/>
  <c r="E25" i="9"/>
  <c r="K54" i="9"/>
  <c r="F41" i="9"/>
  <c r="E46" i="9"/>
  <c r="E47" i="9"/>
  <c r="E48" i="9"/>
  <c r="AA89" i="9"/>
  <c r="I41" i="9"/>
  <c r="T89" i="9"/>
  <c r="D42" i="9"/>
  <c r="D54" i="9"/>
  <c r="I46" i="9"/>
  <c r="T74" i="9"/>
  <c r="B41" i="9"/>
  <c r="D4" i="9"/>
  <c r="E4" i="9" s="1"/>
  <c r="G46" i="9"/>
  <c r="G48" i="9"/>
  <c r="J49" i="9"/>
  <c r="I47" i="9"/>
  <c r="E40" i="9"/>
  <c r="H47" i="9"/>
  <c r="H49" i="9" s="1"/>
  <c r="F48" i="9"/>
  <c r="F49" i="9" s="1"/>
  <c r="H40" i="5"/>
  <c r="H41" i="5" s="1"/>
  <c r="G43" i="5" s="1"/>
  <c r="E149" i="5" s="1"/>
  <c r="H79" i="5"/>
  <c r="J40" i="5"/>
  <c r="J41" i="5" s="1"/>
  <c r="I43" i="5" s="1"/>
  <c r="F149" i="5" s="1"/>
  <c r="R40" i="5"/>
  <c r="R41" i="5" s="1"/>
  <c r="Q43" i="5" s="1"/>
  <c r="J149" i="5" s="1"/>
  <c r="M41" i="5"/>
  <c r="M43" i="5" s="1"/>
  <c r="H149" i="5" s="1"/>
  <c r="T40" i="5"/>
  <c r="T41" i="5" s="1"/>
  <c r="S43" i="5" s="1"/>
  <c r="K149" i="5" s="1"/>
  <c r="F40" i="5"/>
  <c r="F41" i="5" s="1"/>
  <c r="E43" i="5" s="1"/>
  <c r="D149" i="5" s="1"/>
  <c r="V40" i="5"/>
  <c r="V41" i="5" s="1"/>
  <c r="U43" i="5" s="1"/>
  <c r="L149" i="5" s="1"/>
  <c r="O41" i="5"/>
  <c r="O43" i="5" s="1"/>
  <c r="I149" i="5" s="1"/>
  <c r="K41" i="5"/>
  <c r="K43" i="5" s="1"/>
  <c r="G149" i="5" s="1"/>
  <c r="B76" i="8"/>
  <c r="C170" i="8"/>
  <c r="C171" i="8" s="1"/>
  <c r="N170" i="8" s="1"/>
  <c r="E63" i="8"/>
  <c r="E55" i="8"/>
  <c r="E56" i="8" s="1"/>
  <c r="E57" i="8" s="1"/>
  <c r="F55" i="8"/>
  <c r="F56" i="8" s="1"/>
  <c r="F57" i="8" s="1"/>
  <c r="G55" i="8"/>
  <c r="G69" i="8" s="1"/>
  <c r="H55" i="8"/>
  <c r="H56" i="8" s="1"/>
  <c r="X89" i="8" s="1"/>
  <c r="I55" i="8"/>
  <c r="I56" i="8" s="1"/>
  <c r="Y104" i="8" s="1"/>
  <c r="I62" i="8"/>
  <c r="H63" i="8"/>
  <c r="E170" i="8"/>
  <c r="E174" i="8"/>
  <c r="E61" i="8"/>
  <c r="M170" i="8"/>
  <c r="E25" i="8"/>
  <c r="F61" i="8"/>
  <c r="D9" i="8"/>
  <c r="E9" i="8" s="1"/>
  <c r="H61" i="8"/>
  <c r="B171" i="8"/>
  <c r="N169" i="8" s="1"/>
  <c r="C55" i="8"/>
  <c r="C147" i="8" s="1"/>
  <c r="K55" i="8"/>
  <c r="G62" i="8"/>
  <c r="B176" i="8"/>
  <c r="D55" i="8"/>
  <c r="D56" i="8" s="1"/>
  <c r="B55" i="8"/>
  <c r="B56" i="8" s="1"/>
  <c r="J55" i="8"/>
  <c r="J56" i="8" s="1"/>
  <c r="C80" i="8"/>
  <c r="C79" i="8"/>
  <c r="C116" i="8"/>
  <c r="E83" i="5" s="1"/>
  <c r="E84" i="5" s="1"/>
  <c r="C175" i="8"/>
  <c r="C176" i="8"/>
  <c r="F177" i="8"/>
  <c r="C78" i="8"/>
  <c r="J61" i="8"/>
  <c r="G63" i="8"/>
  <c r="D61" i="8"/>
  <c r="D62" i="8"/>
  <c r="F62" i="8"/>
  <c r="I63" i="8"/>
  <c r="J63" i="8"/>
  <c r="D170" i="8"/>
  <c r="B175" i="8"/>
  <c r="E7" i="6"/>
  <c r="D7" i="6"/>
  <c r="O55" i="5"/>
  <c r="F49" i="5"/>
  <c r="H49" i="5"/>
  <c r="G54" i="5"/>
  <c r="S27" i="5"/>
  <c r="R23" i="5"/>
  <c r="R26" i="5" s="1"/>
  <c r="S26" i="5"/>
  <c r="E54" i="5"/>
  <c r="M26" i="5"/>
  <c r="J23" i="5"/>
  <c r="J25" i="5" s="1"/>
  <c r="T54" i="5"/>
  <c r="M54" i="5"/>
  <c r="R14" i="5"/>
  <c r="U26" i="5"/>
  <c r="K69" i="5"/>
  <c r="G157" i="5" s="1"/>
  <c r="U25" i="5"/>
  <c r="P23" i="5"/>
  <c r="P25" i="5" s="1"/>
  <c r="E26" i="5"/>
  <c r="P54" i="5"/>
  <c r="G66" i="5"/>
  <c r="G67" i="5" s="1"/>
  <c r="G69" i="5" s="1"/>
  <c r="E157" i="5" s="1"/>
  <c r="U54" i="5"/>
  <c r="M25" i="5"/>
  <c r="E25" i="5"/>
  <c r="O54" i="5"/>
  <c r="F54" i="5"/>
  <c r="O69" i="5"/>
  <c r="I157" i="5" s="1"/>
  <c r="S69" i="5"/>
  <c r="K157" i="5" s="1"/>
  <c r="I69" i="5"/>
  <c r="F157" i="5" s="1"/>
  <c r="Q69" i="5"/>
  <c r="J157" i="5" s="1"/>
  <c r="L54" i="5"/>
  <c r="S54" i="5"/>
  <c r="K54" i="5"/>
  <c r="H23" i="5"/>
  <c r="Q27" i="5"/>
  <c r="I27" i="5"/>
  <c r="R54" i="5"/>
  <c r="J54" i="5"/>
  <c r="F23" i="5"/>
  <c r="C27" i="5"/>
  <c r="O27" i="5"/>
  <c r="H54" i="5"/>
  <c r="P16" i="5"/>
  <c r="Q25" i="5"/>
  <c r="I25" i="5"/>
  <c r="U66" i="5"/>
  <c r="U67" i="5" s="1"/>
  <c r="U69" i="5" s="1"/>
  <c r="L157" i="5" s="1"/>
  <c r="M66" i="5"/>
  <c r="M67" i="5" s="1"/>
  <c r="M69" i="5" s="1"/>
  <c r="H157" i="5" s="1"/>
  <c r="E66" i="5"/>
  <c r="E67" i="5" s="1"/>
  <c r="E69" i="5" s="1"/>
  <c r="D157" i="5" s="1"/>
  <c r="Q54" i="5"/>
  <c r="V23" i="5"/>
  <c r="R15" i="5"/>
  <c r="T23" i="5"/>
  <c r="D23" i="5"/>
  <c r="V54" i="5"/>
  <c r="N54" i="5"/>
  <c r="C26" i="5"/>
  <c r="I54" i="5"/>
  <c r="N23" i="5"/>
  <c r="G27" i="5"/>
  <c r="T15" i="5"/>
  <c r="K23" i="5"/>
  <c r="O25" i="5"/>
  <c r="G25" i="5"/>
  <c r="N15" i="5"/>
  <c r="F15" i="5"/>
  <c r="V15" i="5"/>
  <c r="H15" i="5"/>
  <c r="N16" i="5"/>
  <c r="J14" i="5"/>
  <c r="D16" i="5"/>
  <c r="J15" i="5"/>
  <c r="P15" i="5"/>
  <c r="J16" i="5"/>
  <c r="D15" i="5"/>
  <c r="H14" i="5"/>
  <c r="C17" i="5"/>
  <c r="F16" i="5"/>
  <c r="T16" i="5"/>
  <c r="V14" i="5"/>
  <c r="E17" i="5"/>
  <c r="K16" i="5"/>
  <c r="L12" i="5"/>
  <c r="L23" i="5" s="1"/>
  <c r="K15" i="5"/>
  <c r="Q17" i="5"/>
  <c r="S17" i="5"/>
  <c r="U17" i="5"/>
  <c r="G17" i="5"/>
  <c r="I17" i="5"/>
  <c r="M17" i="5"/>
  <c r="O17" i="5"/>
  <c r="T60" i="2"/>
  <c r="T59" i="2"/>
  <c r="T61" i="2"/>
  <c r="O31" i="2"/>
  <c r="O32" i="2"/>
  <c r="O40" i="2"/>
  <c r="O29" i="2"/>
  <c r="O28" i="2"/>
  <c r="O27" i="2"/>
  <c r="T12" i="2"/>
  <c r="P32" i="2" s="1"/>
  <c r="O14" i="2"/>
  <c r="P14" i="2" s="1"/>
  <c r="T14" i="2" s="1"/>
  <c r="P34" i="2" s="1"/>
  <c r="G17" i="2"/>
  <c r="C37" i="2" s="1"/>
  <c r="G9" i="2"/>
  <c r="C29" i="2" s="1"/>
  <c r="G16" i="2"/>
  <c r="C36" i="2" s="1"/>
  <c r="G8" i="2"/>
  <c r="C28" i="2" s="1"/>
  <c r="O19" i="2"/>
  <c r="P19" i="2" s="1"/>
  <c r="T19" i="2" s="1"/>
  <c r="P39" i="2" s="1"/>
  <c r="G7" i="2"/>
  <c r="C27" i="2" s="1"/>
  <c r="G14" i="2"/>
  <c r="C34" i="2" s="1"/>
  <c r="G18" i="2"/>
  <c r="C38" i="2" s="1"/>
  <c r="G15" i="2"/>
  <c r="C35" i="2" s="1"/>
  <c r="G21" i="2"/>
  <c r="C41" i="2" s="1"/>
  <c r="G13" i="2"/>
  <c r="C33" i="2" s="1"/>
  <c r="O16" i="2"/>
  <c r="P16" i="2" s="1"/>
  <c r="G10" i="2"/>
  <c r="C30" i="2" s="1"/>
  <c r="G20" i="2"/>
  <c r="C40" i="2" s="1"/>
  <c r="G12" i="2"/>
  <c r="C32" i="2" s="1"/>
  <c r="G19" i="2"/>
  <c r="C39" i="2" s="1"/>
  <c r="G11" i="2"/>
  <c r="C31" i="2" s="1"/>
  <c r="O17" i="2"/>
  <c r="P17" i="2" s="1"/>
  <c r="O20" i="2"/>
  <c r="P20" i="2" s="1"/>
  <c r="T20" i="2" s="1"/>
  <c r="P40" i="2" s="1"/>
  <c r="T18" i="2"/>
  <c r="P38" i="2" s="1"/>
  <c r="T11" i="2"/>
  <c r="P31" i="2" s="1"/>
  <c r="T21" i="2"/>
  <c r="P41" i="2" s="1"/>
  <c r="T16" i="2"/>
  <c r="P36" i="2" s="1"/>
  <c r="T13" i="2"/>
  <c r="P33" i="2" s="1"/>
  <c r="O8" i="2"/>
  <c r="P8" i="2" s="1"/>
  <c r="T8" i="2" s="1"/>
  <c r="P28" i="2" s="1"/>
  <c r="T15" i="2"/>
  <c r="P35" i="2" s="1"/>
  <c r="T17" i="2"/>
  <c r="P37" i="2" s="1"/>
  <c r="F161" i="1"/>
  <c r="F163" i="1" s="1"/>
  <c r="Q153" i="1" s="1"/>
  <c r="G112" i="13" l="1"/>
  <c r="F134" i="5"/>
  <c r="Q141" i="5"/>
  <c r="S141" i="5"/>
  <c r="E141" i="5"/>
  <c r="U141" i="5"/>
  <c r="G141" i="5"/>
  <c r="C141" i="5"/>
  <c r="C142" i="5" s="1"/>
  <c r="C152" i="5" s="1"/>
  <c r="I141" i="5"/>
  <c r="K141" i="5"/>
  <c r="M141" i="5"/>
  <c r="O141" i="5"/>
  <c r="D169" i="14"/>
  <c r="N169" i="14" s="1"/>
  <c r="G112" i="14"/>
  <c r="I122" i="5"/>
  <c r="F79" i="14"/>
  <c r="F85" i="14"/>
  <c r="F88" i="14" s="1"/>
  <c r="F78" i="14"/>
  <c r="F116" i="14"/>
  <c r="F65" i="13"/>
  <c r="F145" i="13"/>
  <c r="E65" i="13"/>
  <c r="E145" i="13"/>
  <c r="E162" i="13"/>
  <c r="E57" i="13"/>
  <c r="U104" i="13"/>
  <c r="U89" i="13"/>
  <c r="K41" i="13"/>
  <c r="K76" i="13" s="1"/>
  <c r="C41" i="13"/>
  <c r="J41" i="13"/>
  <c r="J76" i="13" s="1"/>
  <c r="I41" i="13"/>
  <c r="I76" i="13" s="1"/>
  <c r="H41" i="13"/>
  <c r="H76" i="13" s="1"/>
  <c r="E41" i="13"/>
  <c r="E76" i="13" s="1"/>
  <c r="G41" i="13"/>
  <c r="G76" i="13" s="1"/>
  <c r="F41" i="13"/>
  <c r="F76" i="13" s="1"/>
  <c r="D41" i="13"/>
  <c r="D76" i="13" s="1"/>
  <c r="Q168" i="13"/>
  <c r="Q167" i="13"/>
  <c r="B96" i="13"/>
  <c r="R93" i="13"/>
  <c r="Z90" i="13"/>
  <c r="Z105" i="13"/>
  <c r="R168" i="13"/>
  <c r="R167" i="13"/>
  <c r="D57" i="13"/>
  <c r="T104" i="13"/>
  <c r="T89" i="13"/>
  <c r="R89" i="13"/>
  <c r="B162" i="13"/>
  <c r="R104" i="13"/>
  <c r="D64" i="13"/>
  <c r="B117" i="13"/>
  <c r="R92" i="13"/>
  <c r="R107" i="13"/>
  <c r="F162" i="13"/>
  <c r="F57" i="13"/>
  <c r="V104" i="13"/>
  <c r="V89" i="13"/>
  <c r="S104" i="13"/>
  <c r="C162" i="13"/>
  <c r="C57" i="13"/>
  <c r="S89" i="13"/>
  <c r="Z89" i="13"/>
  <c r="J162" i="13"/>
  <c r="Z104" i="13"/>
  <c r="AA104" i="13"/>
  <c r="K162" i="13"/>
  <c r="AA89" i="13"/>
  <c r="E65" i="14"/>
  <c r="E145" i="14"/>
  <c r="T105" i="14"/>
  <c r="T90" i="14"/>
  <c r="J85" i="14"/>
  <c r="J79" i="14"/>
  <c r="J78" i="14"/>
  <c r="J116" i="14"/>
  <c r="S126" i="5" s="1"/>
  <c r="J80" i="14"/>
  <c r="V105" i="14"/>
  <c r="V90" i="14"/>
  <c r="D162" i="14"/>
  <c r="T104" i="14"/>
  <c r="T89" i="14"/>
  <c r="D57" i="14"/>
  <c r="B96" i="14"/>
  <c r="R93" i="14"/>
  <c r="B162" i="14"/>
  <c r="R104" i="14"/>
  <c r="R89" i="14"/>
  <c r="I80" i="14"/>
  <c r="I85" i="14"/>
  <c r="I116" i="14"/>
  <c r="Q126" i="5" s="1"/>
  <c r="I78" i="14"/>
  <c r="I79" i="14"/>
  <c r="E116" i="14"/>
  <c r="I126" i="5" s="1"/>
  <c r="E78" i="14"/>
  <c r="E80" i="14"/>
  <c r="E85" i="14"/>
  <c r="E79" i="14"/>
  <c r="Z104" i="14"/>
  <c r="Z89" i="14"/>
  <c r="E162" i="14"/>
  <c r="E57" i="14"/>
  <c r="U89" i="14"/>
  <c r="U104" i="14"/>
  <c r="R167" i="14"/>
  <c r="R168" i="14"/>
  <c r="K69" i="14"/>
  <c r="K56" i="14"/>
  <c r="K145" i="14"/>
  <c r="G116" i="14"/>
  <c r="M126" i="5" s="1"/>
  <c r="G78" i="14"/>
  <c r="G80" i="14"/>
  <c r="G85" i="14"/>
  <c r="G79" i="14"/>
  <c r="H80" i="14"/>
  <c r="H79" i="14"/>
  <c r="H78" i="14"/>
  <c r="H85" i="14"/>
  <c r="H116" i="14"/>
  <c r="O126" i="5" s="1"/>
  <c r="G57" i="14"/>
  <c r="W104" i="14"/>
  <c r="W89" i="14"/>
  <c r="G162" i="14"/>
  <c r="N41" i="14"/>
  <c r="N45" i="14" s="1"/>
  <c r="L131" i="14" s="1"/>
  <c r="V107" i="14"/>
  <c r="C76" i="14"/>
  <c r="B117" i="14"/>
  <c r="C127" i="5" s="1"/>
  <c r="C128" i="5" s="1"/>
  <c r="C130" i="5" s="1"/>
  <c r="C153" i="5" s="1"/>
  <c r="R92" i="14"/>
  <c r="R107" i="14"/>
  <c r="M64" i="14"/>
  <c r="M67" i="14" s="1"/>
  <c r="C69" i="14"/>
  <c r="C56" i="14"/>
  <c r="C145" i="14"/>
  <c r="W105" i="14"/>
  <c r="W90" i="14"/>
  <c r="D79" i="14"/>
  <c r="D116" i="14"/>
  <c r="G126" i="5" s="1"/>
  <c r="D80" i="14"/>
  <c r="D85" i="14"/>
  <c r="D78" i="14"/>
  <c r="K79" i="14"/>
  <c r="K116" i="14"/>
  <c r="U126" i="5" s="1"/>
  <c r="K78" i="14"/>
  <c r="K80" i="14"/>
  <c r="Q167" i="14"/>
  <c r="Q168" i="14"/>
  <c r="B149" i="14"/>
  <c r="J64" i="14"/>
  <c r="X104" i="14"/>
  <c r="X89" i="14"/>
  <c r="H162" i="14"/>
  <c r="H57" i="14"/>
  <c r="Y89" i="14"/>
  <c r="I57" i="14"/>
  <c r="Y104" i="14"/>
  <c r="I162" i="14"/>
  <c r="D145" i="14"/>
  <c r="F56" i="14"/>
  <c r="F145" i="14"/>
  <c r="F69" i="14"/>
  <c r="G41" i="11"/>
  <c r="G76" i="11" s="1"/>
  <c r="G116" i="11" s="1"/>
  <c r="M113" i="5" s="1"/>
  <c r="E41" i="11"/>
  <c r="E76" i="11" s="1"/>
  <c r="F25" i="8"/>
  <c r="F34" i="8" s="1"/>
  <c r="M34" i="8" s="1"/>
  <c r="E11" i="8"/>
  <c r="C110" i="12"/>
  <c r="J69" i="11"/>
  <c r="J145" i="11"/>
  <c r="E64" i="11"/>
  <c r="E145" i="11" s="1"/>
  <c r="D56" i="11"/>
  <c r="D57" i="11" s="1"/>
  <c r="B100" i="11"/>
  <c r="H69" i="11"/>
  <c r="F25" i="11"/>
  <c r="F34" i="11" s="1"/>
  <c r="M34" i="11" s="1"/>
  <c r="L133" i="11" s="1"/>
  <c r="B156" i="11" s="1"/>
  <c r="E11" i="11"/>
  <c r="N43" i="11" s="1"/>
  <c r="E65" i="11"/>
  <c r="X105" i="11"/>
  <c r="Q114" i="5"/>
  <c r="R113" i="5"/>
  <c r="R114" i="5" s="1"/>
  <c r="C114" i="5"/>
  <c r="D113" i="5"/>
  <c r="D114" i="5" s="1"/>
  <c r="G64" i="11"/>
  <c r="G65" i="11" s="1"/>
  <c r="D64" i="11"/>
  <c r="F64" i="11"/>
  <c r="F145" i="11" s="1"/>
  <c r="H145" i="11"/>
  <c r="I64" i="11"/>
  <c r="I145" i="11" s="1"/>
  <c r="C80" i="11"/>
  <c r="C116" i="11"/>
  <c r="C117" i="11" s="1"/>
  <c r="C79" i="11"/>
  <c r="C78" i="11"/>
  <c r="E177" i="11"/>
  <c r="Q170" i="11" s="1"/>
  <c r="D176" i="11"/>
  <c r="R169" i="11" s="1"/>
  <c r="O169" i="11"/>
  <c r="K78" i="11"/>
  <c r="K79" i="11"/>
  <c r="K116" i="11"/>
  <c r="I80" i="11"/>
  <c r="I79" i="11"/>
  <c r="I85" i="11"/>
  <c r="I88" i="11" s="1"/>
  <c r="I78" i="11"/>
  <c r="D80" i="11"/>
  <c r="D116" i="11"/>
  <c r="D78" i="11"/>
  <c r="D79" i="11"/>
  <c r="D145" i="11"/>
  <c r="D65" i="11"/>
  <c r="G10" i="11"/>
  <c r="E12" i="11"/>
  <c r="M12" i="11" s="1"/>
  <c r="H116" i="11"/>
  <c r="O113" i="5" s="1"/>
  <c r="H78" i="11"/>
  <c r="H80" i="11"/>
  <c r="H85" i="11"/>
  <c r="H79" i="11"/>
  <c r="G78" i="11"/>
  <c r="R168" i="11"/>
  <c r="R167" i="11"/>
  <c r="E169" i="11"/>
  <c r="N170" i="11" s="1"/>
  <c r="O170" i="11"/>
  <c r="R89" i="11"/>
  <c r="R104" i="11"/>
  <c r="B162" i="11"/>
  <c r="R92" i="11"/>
  <c r="B117" i="11"/>
  <c r="R107" i="11"/>
  <c r="F65" i="11"/>
  <c r="Y104" i="11"/>
  <c r="Y89" i="11"/>
  <c r="I57" i="11"/>
  <c r="Y92" i="11"/>
  <c r="Y107" i="11"/>
  <c r="I117" i="11"/>
  <c r="K145" i="11"/>
  <c r="K69" i="11"/>
  <c r="K56" i="11"/>
  <c r="Z90" i="11"/>
  <c r="Z105" i="11"/>
  <c r="D162" i="11"/>
  <c r="T89" i="11"/>
  <c r="D87" i="11"/>
  <c r="D88" i="11"/>
  <c r="D86" i="11"/>
  <c r="D124" i="11"/>
  <c r="C145" i="11"/>
  <c r="C69" i="11"/>
  <c r="C56" i="11"/>
  <c r="B96" i="11"/>
  <c r="R93" i="11"/>
  <c r="H57" i="11"/>
  <c r="X104" i="11"/>
  <c r="H162" i="11"/>
  <c r="X89" i="11"/>
  <c r="F57" i="11"/>
  <c r="V104" i="11"/>
  <c r="V89" i="11"/>
  <c r="J80" i="11"/>
  <c r="J85" i="11"/>
  <c r="J79" i="11"/>
  <c r="J116" i="11"/>
  <c r="S113" i="5" s="1"/>
  <c r="J78" i="11"/>
  <c r="F116" i="11"/>
  <c r="K113" i="5" s="1"/>
  <c r="F78" i="11"/>
  <c r="F80" i="11"/>
  <c r="F85" i="11"/>
  <c r="F79" i="11"/>
  <c r="E79" i="11"/>
  <c r="E85" i="11"/>
  <c r="E116" i="11"/>
  <c r="I113" i="5" s="1"/>
  <c r="E78" i="11"/>
  <c r="E80" i="11"/>
  <c r="M55" i="11"/>
  <c r="E162" i="11"/>
  <c r="E57" i="11"/>
  <c r="U104" i="11"/>
  <c r="U89" i="11"/>
  <c r="Z89" i="11"/>
  <c r="Z104" i="11"/>
  <c r="J162" i="11"/>
  <c r="S100" i="5"/>
  <c r="Q100" i="5"/>
  <c r="Q101" i="5" s="1"/>
  <c r="F100" i="5"/>
  <c r="F101" i="5" s="1"/>
  <c r="H96" i="5"/>
  <c r="C100" i="5"/>
  <c r="D76" i="8"/>
  <c r="D116" i="8" s="1"/>
  <c r="N42" i="8"/>
  <c r="C104" i="12" s="1"/>
  <c r="E176" i="8"/>
  <c r="C69" i="8"/>
  <c r="G56" i="8"/>
  <c r="W89" i="8" s="1"/>
  <c r="F83" i="5"/>
  <c r="F84" i="5" s="1"/>
  <c r="E69" i="8"/>
  <c r="V89" i="8"/>
  <c r="V104" i="8"/>
  <c r="U89" i="8"/>
  <c r="U104" i="8"/>
  <c r="F69" i="8"/>
  <c r="C56" i="8"/>
  <c r="S104" i="8" s="1"/>
  <c r="H50" i="9"/>
  <c r="G5" i="9"/>
  <c r="F50" i="9"/>
  <c r="Z90" i="9"/>
  <c r="Z75" i="9"/>
  <c r="G49" i="9"/>
  <c r="G50" i="9" s="1"/>
  <c r="M25" i="9"/>
  <c r="E6" i="9"/>
  <c r="E7" i="9" s="1"/>
  <c r="E49" i="9"/>
  <c r="I49" i="9"/>
  <c r="R89" i="9"/>
  <c r="R74" i="9"/>
  <c r="R153" i="9"/>
  <c r="R154" i="9"/>
  <c r="Z89" i="9"/>
  <c r="Z74" i="9"/>
  <c r="S74" i="9"/>
  <c r="C42" i="9"/>
  <c r="S89" i="9"/>
  <c r="F20" i="9"/>
  <c r="G54" i="9"/>
  <c r="G41" i="9"/>
  <c r="X89" i="9"/>
  <c r="H42" i="9"/>
  <c r="X74" i="9"/>
  <c r="Y89" i="9"/>
  <c r="I42" i="9"/>
  <c r="Y74" i="9"/>
  <c r="V89" i="9"/>
  <c r="V74" i="9"/>
  <c r="F42" i="9"/>
  <c r="E41" i="9"/>
  <c r="E54" i="9"/>
  <c r="T90" i="9"/>
  <c r="T75" i="9"/>
  <c r="R25" i="5"/>
  <c r="R27" i="5"/>
  <c r="U28" i="5"/>
  <c r="R17" i="5"/>
  <c r="Q18" i="5" s="1"/>
  <c r="S28" i="5"/>
  <c r="M28" i="5"/>
  <c r="E30" i="8"/>
  <c r="N44" i="8" s="1"/>
  <c r="C106" i="12" s="1"/>
  <c r="L135" i="8"/>
  <c r="B158" i="8" s="1"/>
  <c r="I69" i="8"/>
  <c r="Y89" i="8"/>
  <c r="I57" i="8"/>
  <c r="F80" i="8"/>
  <c r="F79" i="8"/>
  <c r="O170" i="8"/>
  <c r="F64" i="8"/>
  <c r="F147" i="8" s="1"/>
  <c r="C177" i="8"/>
  <c r="C179" i="8" s="1"/>
  <c r="H57" i="8"/>
  <c r="X104" i="8"/>
  <c r="G64" i="8"/>
  <c r="G147" i="8" s="1"/>
  <c r="B147" i="8"/>
  <c r="F86" i="8"/>
  <c r="E64" i="8"/>
  <c r="F88" i="8"/>
  <c r="J64" i="8"/>
  <c r="J147" i="8" s="1"/>
  <c r="D64" i="8"/>
  <c r="D147" i="8" s="1"/>
  <c r="H69" i="8"/>
  <c r="D69" i="8"/>
  <c r="M55" i="8"/>
  <c r="H64" i="8"/>
  <c r="H65" i="8" s="1"/>
  <c r="I64" i="8"/>
  <c r="I147" i="8" s="1"/>
  <c r="F116" i="8"/>
  <c r="V107" i="8" s="1"/>
  <c r="F87" i="8"/>
  <c r="J69" i="8"/>
  <c r="K69" i="8"/>
  <c r="K147" i="8"/>
  <c r="K56" i="8"/>
  <c r="C81" i="8"/>
  <c r="C82" i="8" s="1"/>
  <c r="B69" i="8"/>
  <c r="E175" i="8"/>
  <c r="P172" i="8"/>
  <c r="O172" i="8"/>
  <c r="E171" i="8"/>
  <c r="N172" i="8" s="1"/>
  <c r="B177" i="8"/>
  <c r="F78" i="8"/>
  <c r="V109" i="8"/>
  <c r="F143" i="8"/>
  <c r="D171" i="8"/>
  <c r="N171" i="8" s="1"/>
  <c r="O171" i="8"/>
  <c r="I78" i="8"/>
  <c r="I85" i="8"/>
  <c r="I79" i="8"/>
  <c r="I80" i="8"/>
  <c r="I116" i="8"/>
  <c r="Q83" i="5" s="1"/>
  <c r="B116" i="8"/>
  <c r="B79" i="8"/>
  <c r="B78" i="8"/>
  <c r="B80" i="8"/>
  <c r="T104" i="8"/>
  <c r="T89" i="8"/>
  <c r="D57" i="8"/>
  <c r="W104" i="8"/>
  <c r="G57" i="8"/>
  <c r="C117" i="8"/>
  <c r="C120" i="8" s="1"/>
  <c r="S107" i="8"/>
  <c r="S92" i="8"/>
  <c r="D175" i="8"/>
  <c r="D176" i="8"/>
  <c r="P171" i="8"/>
  <c r="D174" i="8"/>
  <c r="F179" i="8"/>
  <c r="F178" i="8"/>
  <c r="J79" i="8"/>
  <c r="J78" i="8"/>
  <c r="J80" i="8"/>
  <c r="J116" i="8"/>
  <c r="S83" i="5" s="1"/>
  <c r="J85" i="8"/>
  <c r="Z89" i="8"/>
  <c r="Z104" i="8"/>
  <c r="H116" i="8"/>
  <c r="O83" i="5" s="1"/>
  <c r="H80" i="8"/>
  <c r="H79" i="8"/>
  <c r="H78" i="8"/>
  <c r="H85" i="8"/>
  <c r="R89" i="8"/>
  <c r="R104" i="8"/>
  <c r="B164" i="8"/>
  <c r="S89" i="8"/>
  <c r="K80" i="8"/>
  <c r="K79" i="8"/>
  <c r="K116" i="8"/>
  <c r="U83" i="5" s="1"/>
  <c r="K78" i="8"/>
  <c r="G85" i="8"/>
  <c r="G79" i="8"/>
  <c r="G78" i="8"/>
  <c r="G116" i="8"/>
  <c r="M83" i="5" s="1"/>
  <c r="G80" i="8"/>
  <c r="G10" i="8"/>
  <c r="E116" i="8"/>
  <c r="I83" i="5" s="1"/>
  <c r="E85" i="8"/>
  <c r="E79" i="8"/>
  <c r="E78" i="8"/>
  <c r="E80" i="8"/>
  <c r="M56" i="5"/>
  <c r="H156" i="5" s="1"/>
  <c r="E56" i="5"/>
  <c r="D156" i="5" s="1"/>
  <c r="Q56" i="5"/>
  <c r="J156" i="5" s="1"/>
  <c r="G56" i="5"/>
  <c r="E156" i="5" s="1"/>
  <c r="O28" i="5"/>
  <c r="N17" i="5"/>
  <c r="Q28" i="5"/>
  <c r="O56" i="5"/>
  <c r="I156" i="5" s="1"/>
  <c r="C28" i="5"/>
  <c r="F17" i="5"/>
  <c r="S56" i="5"/>
  <c r="K156" i="5" s="1"/>
  <c r="K17" i="5"/>
  <c r="J27" i="5"/>
  <c r="K56" i="5"/>
  <c r="G156" i="5" s="1"/>
  <c r="D17" i="5"/>
  <c r="C21" i="5" s="1"/>
  <c r="C150" i="5" s="1"/>
  <c r="J26" i="5"/>
  <c r="G28" i="5"/>
  <c r="P26" i="5"/>
  <c r="P27" i="5"/>
  <c r="U56" i="5"/>
  <c r="L156" i="5" s="1"/>
  <c r="E28" i="5"/>
  <c r="T17" i="5"/>
  <c r="D27" i="5"/>
  <c r="D26" i="5"/>
  <c r="D25" i="5"/>
  <c r="L27" i="5"/>
  <c r="L26" i="5"/>
  <c r="L25" i="5"/>
  <c r="H17" i="5"/>
  <c r="T27" i="5"/>
  <c r="T26" i="5"/>
  <c r="T25" i="5"/>
  <c r="F27" i="5"/>
  <c r="F25" i="5"/>
  <c r="F26" i="5"/>
  <c r="N27" i="5"/>
  <c r="N26" i="5"/>
  <c r="N25" i="5"/>
  <c r="I28" i="5"/>
  <c r="I56" i="5"/>
  <c r="F156" i="5" s="1"/>
  <c r="P17" i="5"/>
  <c r="H27" i="5"/>
  <c r="H26" i="5"/>
  <c r="H25" i="5"/>
  <c r="V27" i="5"/>
  <c r="V26" i="5"/>
  <c r="V25" i="5"/>
  <c r="K25" i="5"/>
  <c r="K26" i="5"/>
  <c r="K27" i="5"/>
  <c r="V17" i="5"/>
  <c r="L14" i="5"/>
  <c r="L15" i="5"/>
  <c r="L16" i="5"/>
  <c r="J17" i="5"/>
  <c r="I18" i="5" s="1"/>
  <c r="C53" i="5"/>
  <c r="D53" i="5" s="1"/>
  <c r="O9" i="2"/>
  <c r="P9" i="2" s="1"/>
  <c r="T9" i="2" s="1"/>
  <c r="P29" i="2" s="1"/>
  <c r="O10" i="2"/>
  <c r="P10" i="2" s="1"/>
  <c r="T10" i="2" s="1"/>
  <c r="P30" i="2" s="1"/>
  <c r="F162" i="1"/>
  <c r="R154" i="1" s="1"/>
  <c r="Q154" i="1"/>
  <c r="U76" i="1"/>
  <c r="V76" i="1"/>
  <c r="W76" i="1"/>
  <c r="X76" i="1"/>
  <c r="Y76" i="1"/>
  <c r="Z76" i="1"/>
  <c r="AA76" i="1"/>
  <c r="S76" i="1"/>
  <c r="T76" i="1"/>
  <c r="D45" i="1"/>
  <c r="R76" i="1"/>
  <c r="S61" i="1"/>
  <c r="T61" i="1"/>
  <c r="U61" i="1"/>
  <c r="V61" i="1"/>
  <c r="W61" i="1"/>
  <c r="X61" i="1"/>
  <c r="Y61" i="1"/>
  <c r="Z61" i="1"/>
  <c r="AA61" i="1"/>
  <c r="R61" i="1"/>
  <c r="I112" i="13" l="1"/>
  <c r="J134" i="5" s="1"/>
  <c r="H134" i="5"/>
  <c r="H126" i="5"/>
  <c r="H127" i="5" s="1"/>
  <c r="G127" i="5"/>
  <c r="O127" i="5"/>
  <c r="P126" i="5"/>
  <c r="P127" i="5" s="1"/>
  <c r="V126" i="5"/>
  <c r="V127" i="5" s="1"/>
  <c r="U127" i="5"/>
  <c r="M127" i="5"/>
  <c r="N126" i="5"/>
  <c r="N127" i="5" s="1"/>
  <c r="I127" i="5"/>
  <c r="J126" i="5"/>
  <c r="J127" i="5" s="1"/>
  <c r="T126" i="5"/>
  <c r="T127" i="5" s="1"/>
  <c r="S127" i="5"/>
  <c r="R126" i="5"/>
  <c r="R127" i="5" s="1"/>
  <c r="Q127" i="5"/>
  <c r="V92" i="14"/>
  <c r="K126" i="5"/>
  <c r="I112" i="14"/>
  <c r="Q122" i="5" s="1"/>
  <c r="M122" i="5"/>
  <c r="F81" i="14"/>
  <c r="F82" i="14" s="1"/>
  <c r="F124" i="14"/>
  <c r="F125" i="14" s="1"/>
  <c r="F126" i="14" s="1"/>
  <c r="F87" i="14"/>
  <c r="F86" i="14"/>
  <c r="F117" i="14"/>
  <c r="F120" i="14" s="1"/>
  <c r="F121" i="14" s="1"/>
  <c r="H81" i="14"/>
  <c r="H82" i="14" s="1"/>
  <c r="H96" i="14" s="1"/>
  <c r="B120" i="13"/>
  <c r="E79" i="13"/>
  <c r="E116" i="13"/>
  <c r="I138" i="5" s="1"/>
  <c r="E78" i="13"/>
  <c r="E80" i="13"/>
  <c r="E85" i="13"/>
  <c r="H116" i="13"/>
  <c r="O138" i="5" s="1"/>
  <c r="H78" i="13"/>
  <c r="H80" i="13"/>
  <c r="H85" i="13"/>
  <c r="H79" i="13"/>
  <c r="G116" i="13"/>
  <c r="M138" i="5" s="1"/>
  <c r="G78" i="13"/>
  <c r="G80" i="13"/>
  <c r="G85" i="13"/>
  <c r="G79" i="13"/>
  <c r="I80" i="13"/>
  <c r="I85" i="13"/>
  <c r="I79" i="13"/>
  <c r="I116" i="13"/>
  <c r="Q138" i="5" s="1"/>
  <c r="I78" i="13"/>
  <c r="M64" i="13"/>
  <c r="M67" i="13" s="1"/>
  <c r="D145" i="13"/>
  <c r="M145" i="13" s="1"/>
  <c r="D65" i="13"/>
  <c r="J80" i="13"/>
  <c r="J85" i="13"/>
  <c r="J116" i="13"/>
  <c r="S138" i="5" s="1"/>
  <c r="J79" i="13"/>
  <c r="J78" i="13"/>
  <c r="U90" i="13"/>
  <c r="U105" i="13"/>
  <c r="N41" i="13"/>
  <c r="N45" i="13" s="1"/>
  <c r="L131" i="13" s="1"/>
  <c r="C76" i="13"/>
  <c r="F116" i="13"/>
  <c r="K138" i="5" s="1"/>
  <c r="F78" i="13"/>
  <c r="F80" i="13"/>
  <c r="F85" i="13"/>
  <c r="F79" i="13"/>
  <c r="D85" i="13"/>
  <c r="D79" i="13"/>
  <c r="D80" i="13"/>
  <c r="D116" i="13"/>
  <c r="G138" i="5" s="1"/>
  <c r="D78" i="13"/>
  <c r="K79" i="13"/>
  <c r="K116" i="13"/>
  <c r="U138" i="5" s="1"/>
  <c r="K78" i="13"/>
  <c r="K80" i="13"/>
  <c r="V105" i="13"/>
  <c r="V90" i="13"/>
  <c r="X92" i="14"/>
  <c r="H117" i="14"/>
  <c r="H120" i="14" s="1"/>
  <c r="H118" i="14"/>
  <c r="X107" i="14"/>
  <c r="G87" i="14"/>
  <c r="G124" i="14"/>
  <c r="G88" i="14"/>
  <c r="G86" i="14"/>
  <c r="E124" i="14"/>
  <c r="E87" i="14"/>
  <c r="E88" i="14"/>
  <c r="E86" i="14"/>
  <c r="I87" i="14"/>
  <c r="I124" i="14"/>
  <c r="I88" i="14"/>
  <c r="I86" i="14"/>
  <c r="F162" i="14"/>
  <c r="F57" i="14"/>
  <c r="V104" i="14"/>
  <c r="V89" i="14"/>
  <c r="K81" i="14"/>
  <c r="D117" i="14"/>
  <c r="D120" i="14" s="1"/>
  <c r="T92" i="14"/>
  <c r="T107" i="14"/>
  <c r="D118" i="14"/>
  <c r="H88" i="14"/>
  <c r="H86" i="14"/>
  <c r="H87" i="14"/>
  <c r="H124" i="14"/>
  <c r="G81" i="14"/>
  <c r="E81" i="14"/>
  <c r="J87" i="14"/>
  <c r="J88" i="14"/>
  <c r="J86" i="14"/>
  <c r="J124" i="14"/>
  <c r="D88" i="14"/>
  <c r="D86" i="14"/>
  <c r="D124" i="14"/>
  <c r="D87" i="14"/>
  <c r="J145" i="14"/>
  <c r="M145" i="14" s="1"/>
  <c r="J65" i="14"/>
  <c r="B120" i="14"/>
  <c r="K162" i="14"/>
  <c r="AA89" i="14"/>
  <c r="AA104" i="14"/>
  <c r="I81" i="14"/>
  <c r="K117" i="14"/>
  <c r="K120" i="14" s="1"/>
  <c r="AA107" i="14"/>
  <c r="AA92" i="14"/>
  <c r="D81" i="14"/>
  <c r="C79" i="14"/>
  <c r="C116" i="14"/>
  <c r="C78" i="14"/>
  <c r="C80" i="14"/>
  <c r="I117" i="14"/>
  <c r="I120" i="14" s="1"/>
  <c r="I121" i="14" s="1"/>
  <c r="Y107" i="14"/>
  <c r="Y92" i="14"/>
  <c r="J117" i="14"/>
  <c r="J120" i="14" s="1"/>
  <c r="J121" i="14" s="1"/>
  <c r="Z92" i="14"/>
  <c r="Z107" i="14"/>
  <c r="B155" i="14"/>
  <c r="W107" i="14"/>
  <c r="W92" i="14"/>
  <c r="G117" i="14"/>
  <c r="G120" i="14" s="1"/>
  <c r="E117" i="14"/>
  <c r="E120" i="14" s="1"/>
  <c r="E121" i="14" s="1"/>
  <c r="U107" i="14"/>
  <c r="U92" i="14"/>
  <c r="K118" i="14"/>
  <c r="C162" i="14"/>
  <c r="S89" i="14"/>
  <c r="C57" i="14"/>
  <c r="S104" i="14"/>
  <c r="F100" i="14"/>
  <c r="J81" i="14"/>
  <c r="U105" i="14"/>
  <c r="U90" i="14"/>
  <c r="G79" i="11"/>
  <c r="G85" i="11"/>
  <c r="N41" i="11"/>
  <c r="N45" i="11" s="1"/>
  <c r="L131" i="11" s="1"/>
  <c r="B155" i="11" s="1"/>
  <c r="G80" i="11"/>
  <c r="F65" i="8"/>
  <c r="D104" i="12" a="1"/>
  <c r="D104" i="12" s="1"/>
  <c r="D108" i="12" s="1"/>
  <c r="C108" i="12"/>
  <c r="T104" i="11"/>
  <c r="Q115" i="5"/>
  <c r="Q117" i="5" s="1"/>
  <c r="J154" i="5" s="1"/>
  <c r="I65" i="11"/>
  <c r="I162" i="11" s="1"/>
  <c r="N45" i="8"/>
  <c r="P113" i="5"/>
  <c r="P114" i="5" s="1"/>
  <c r="O114" i="5"/>
  <c r="G145" i="11"/>
  <c r="M145" i="11" s="1"/>
  <c r="M64" i="11"/>
  <c r="M67" i="11" s="1"/>
  <c r="C81" i="11"/>
  <c r="C82" i="11" s="1"/>
  <c r="C96" i="11" s="1"/>
  <c r="K114" i="5"/>
  <c r="L113" i="5"/>
  <c r="L114" i="5" s="1"/>
  <c r="S114" i="5"/>
  <c r="T113" i="5"/>
  <c r="T114" i="5" s="1"/>
  <c r="C115" i="5"/>
  <c r="C117" i="5" s="1"/>
  <c r="C154" i="5" s="1"/>
  <c r="J113" i="5"/>
  <c r="J114" i="5" s="1"/>
  <c r="I114" i="5"/>
  <c r="N113" i="5"/>
  <c r="N114" i="5" s="1"/>
  <c r="M114" i="5"/>
  <c r="U105" i="11"/>
  <c r="U90" i="11"/>
  <c r="I120" i="11"/>
  <c r="I121" i="11" s="1"/>
  <c r="K118" i="11"/>
  <c r="U113" i="5"/>
  <c r="C120" i="11"/>
  <c r="C137" i="11" s="1"/>
  <c r="S107" i="11"/>
  <c r="E113" i="5"/>
  <c r="T107" i="11"/>
  <c r="G113" i="5"/>
  <c r="S92" i="11"/>
  <c r="K117" i="11"/>
  <c r="K81" i="11"/>
  <c r="K82" i="11" s="1"/>
  <c r="K96" i="11" s="1"/>
  <c r="AA107" i="11"/>
  <c r="I87" i="11"/>
  <c r="AA92" i="11"/>
  <c r="D118" i="11"/>
  <c r="I81" i="11"/>
  <c r="I100" i="11" s="1"/>
  <c r="D117" i="11"/>
  <c r="T92" i="11"/>
  <c r="I124" i="11"/>
  <c r="I125" i="11" s="1"/>
  <c r="I126" i="11" s="1"/>
  <c r="I86" i="11"/>
  <c r="J81" i="11"/>
  <c r="J82" i="11" s="1"/>
  <c r="D81" i="11"/>
  <c r="F81" i="11"/>
  <c r="F82" i="11" s="1"/>
  <c r="F96" i="11" s="1"/>
  <c r="V105" i="11"/>
  <c r="V90" i="11"/>
  <c r="C162" i="11"/>
  <c r="C57" i="11"/>
  <c r="S104" i="11"/>
  <c r="S89" i="11"/>
  <c r="H81" i="11"/>
  <c r="J117" i="11"/>
  <c r="Z107" i="11"/>
  <c r="Z92" i="11"/>
  <c r="F162" i="11"/>
  <c r="B120" i="11"/>
  <c r="H118" i="11"/>
  <c r="X107" i="11"/>
  <c r="X92" i="11"/>
  <c r="H117" i="11"/>
  <c r="G124" i="11"/>
  <c r="G87" i="11"/>
  <c r="G88" i="11"/>
  <c r="G86" i="11"/>
  <c r="AA89" i="11"/>
  <c r="K162" i="11"/>
  <c r="AA104" i="11"/>
  <c r="Y105" i="11"/>
  <c r="Y90" i="11"/>
  <c r="W107" i="11"/>
  <c r="G117" i="11"/>
  <c r="W92" i="11"/>
  <c r="F124" i="11"/>
  <c r="F88" i="11"/>
  <c r="F86" i="11"/>
  <c r="F87" i="11"/>
  <c r="E88" i="11"/>
  <c r="E86" i="11"/>
  <c r="E124" i="11"/>
  <c r="E87" i="11"/>
  <c r="J87" i="11"/>
  <c r="J88" i="11"/>
  <c r="J86" i="11"/>
  <c r="J124" i="11"/>
  <c r="D125" i="11"/>
  <c r="D126" i="11" s="1"/>
  <c r="W105" i="11"/>
  <c r="W90" i="11"/>
  <c r="G162" i="11"/>
  <c r="T90" i="11"/>
  <c r="T105" i="11"/>
  <c r="E81" i="11"/>
  <c r="D89" i="11"/>
  <c r="E117" i="11"/>
  <c r="U107" i="11"/>
  <c r="U92" i="11"/>
  <c r="F117" i="11"/>
  <c r="V107" i="11"/>
  <c r="V92" i="11"/>
  <c r="H87" i="11"/>
  <c r="H88" i="11"/>
  <c r="H86" i="11"/>
  <c r="H124" i="11"/>
  <c r="E177" i="8"/>
  <c r="E179" i="8" s="1"/>
  <c r="Q172" i="8" s="1"/>
  <c r="K100" i="5"/>
  <c r="L100" i="5" s="1"/>
  <c r="L101" i="5" s="1"/>
  <c r="I100" i="5"/>
  <c r="J100" i="5" s="1"/>
  <c r="J101" i="5" s="1"/>
  <c r="O100" i="5"/>
  <c r="R100" i="5"/>
  <c r="R101" i="5" s="1"/>
  <c r="Q103" i="5" s="1"/>
  <c r="D79" i="8"/>
  <c r="D78" i="8"/>
  <c r="E103" i="5"/>
  <c r="J96" i="5"/>
  <c r="C101" i="5"/>
  <c r="D100" i="5"/>
  <c r="D101" i="5" s="1"/>
  <c r="T100" i="5"/>
  <c r="T101" i="5" s="1"/>
  <c r="S101" i="5"/>
  <c r="G83" i="5"/>
  <c r="H83" i="5" s="1"/>
  <c r="H84" i="5" s="1"/>
  <c r="D118" i="8"/>
  <c r="D85" i="8"/>
  <c r="D87" i="8" s="1"/>
  <c r="D80" i="8"/>
  <c r="D66" i="5"/>
  <c r="D67" i="5" s="1"/>
  <c r="D54" i="5"/>
  <c r="C104" i="5"/>
  <c r="C105" i="5" s="1"/>
  <c r="C158" i="5" s="1"/>
  <c r="E104" i="5"/>
  <c r="G104" i="5"/>
  <c r="R28" i="5"/>
  <c r="Q29" i="5" s="1"/>
  <c r="Q32" i="5" s="1"/>
  <c r="J148" i="5" s="1"/>
  <c r="C66" i="5"/>
  <c r="C67" i="5" s="1"/>
  <c r="C54" i="5"/>
  <c r="G21" i="5"/>
  <c r="E150" i="5" s="1"/>
  <c r="E87" i="5"/>
  <c r="L133" i="8"/>
  <c r="B157" i="8" s="1"/>
  <c r="C164" i="8"/>
  <c r="C83" i="5"/>
  <c r="D83" i="5" s="1"/>
  <c r="C87" i="5" s="1"/>
  <c r="B117" i="8"/>
  <c r="C57" i="8"/>
  <c r="C96" i="8"/>
  <c r="M7" i="9"/>
  <c r="M49" i="9"/>
  <c r="M52" i="9" s="1"/>
  <c r="E50" i="9"/>
  <c r="I50" i="9"/>
  <c r="W89" i="9"/>
  <c r="W74" i="9"/>
  <c r="G42" i="9"/>
  <c r="U74" i="9"/>
  <c r="U89" i="9"/>
  <c r="E42" i="9"/>
  <c r="X90" i="9"/>
  <c r="X75" i="9"/>
  <c r="V75" i="9"/>
  <c r="V90" i="9"/>
  <c r="W75" i="9"/>
  <c r="W90" i="9"/>
  <c r="U84" i="5"/>
  <c r="V83" i="5"/>
  <c r="V84" i="5" s="1"/>
  <c r="Q84" i="5"/>
  <c r="R83" i="5"/>
  <c r="R84" i="5" s="1"/>
  <c r="S84" i="5"/>
  <c r="T83" i="5"/>
  <c r="T84" i="5" s="1"/>
  <c r="F117" i="8"/>
  <c r="F120" i="8" s="1"/>
  <c r="F139" i="8" s="1"/>
  <c r="K83" i="5"/>
  <c r="I84" i="5"/>
  <c r="J83" i="5"/>
  <c r="J84" i="5" s="1"/>
  <c r="N83" i="5"/>
  <c r="N84" i="5" s="1"/>
  <c r="M84" i="5"/>
  <c r="P83" i="5"/>
  <c r="P84" i="5" s="1"/>
  <c r="O84" i="5"/>
  <c r="G18" i="5"/>
  <c r="M21" i="5"/>
  <c r="H150" i="5" s="1"/>
  <c r="M18" i="5"/>
  <c r="E21" i="5"/>
  <c r="D150" i="5" s="1"/>
  <c r="E18" i="5"/>
  <c r="S21" i="5"/>
  <c r="K150" i="5" s="1"/>
  <c r="S18" i="5"/>
  <c r="O21" i="5"/>
  <c r="I150" i="5" s="1"/>
  <c r="O18" i="5"/>
  <c r="Q21" i="5"/>
  <c r="J150" i="5" s="1"/>
  <c r="U21" i="5"/>
  <c r="L150" i="5" s="1"/>
  <c r="U18" i="5"/>
  <c r="I21" i="5"/>
  <c r="F150" i="5" s="1"/>
  <c r="J28" i="5"/>
  <c r="P28" i="5"/>
  <c r="O29" i="5" s="1"/>
  <c r="O32" i="5" s="1"/>
  <c r="I148" i="5" s="1"/>
  <c r="E12" i="8"/>
  <c r="M12" i="8" s="1"/>
  <c r="F89" i="8"/>
  <c r="F81" i="8"/>
  <c r="F100" i="8" s="1"/>
  <c r="G65" i="8"/>
  <c r="G164" i="8" s="1"/>
  <c r="V92" i="8"/>
  <c r="E65" i="8"/>
  <c r="E147" i="8"/>
  <c r="J65" i="8"/>
  <c r="J164" i="8" s="1"/>
  <c r="X105" i="8"/>
  <c r="X90" i="8"/>
  <c r="I65" i="8"/>
  <c r="Y105" i="8" s="1"/>
  <c r="H164" i="8"/>
  <c r="D65" i="8"/>
  <c r="D164" i="8" s="1"/>
  <c r="M64" i="8"/>
  <c r="M67" i="8" s="1"/>
  <c r="S93" i="8"/>
  <c r="C100" i="8"/>
  <c r="H147" i="8"/>
  <c r="C148" i="8"/>
  <c r="C151" i="8" s="1"/>
  <c r="D177" i="8"/>
  <c r="G81" i="8"/>
  <c r="G82" i="8" s="1"/>
  <c r="G96" i="8" s="1"/>
  <c r="H81" i="8"/>
  <c r="H82" i="8" s="1"/>
  <c r="H96" i="8" s="1"/>
  <c r="E81" i="8"/>
  <c r="E82" i="8" s="1"/>
  <c r="E96" i="8" s="1"/>
  <c r="K164" i="8"/>
  <c r="AA104" i="8"/>
  <c r="AA89" i="8"/>
  <c r="K117" i="8"/>
  <c r="K120" i="8" s="1"/>
  <c r="AA107" i="8"/>
  <c r="AA92" i="8"/>
  <c r="K118" i="8"/>
  <c r="H124" i="8"/>
  <c r="H88" i="8"/>
  <c r="H86" i="8"/>
  <c r="H87" i="8"/>
  <c r="C149" i="8"/>
  <c r="C153" i="8" s="1"/>
  <c r="C139" i="8"/>
  <c r="C121" i="8"/>
  <c r="Y92" i="8"/>
  <c r="I117" i="8"/>
  <c r="I120" i="8" s="1"/>
  <c r="I121" i="8" s="1"/>
  <c r="Y107" i="8"/>
  <c r="J117" i="8"/>
  <c r="J120" i="8" s="1"/>
  <c r="J121" i="8" s="1"/>
  <c r="Z92" i="8"/>
  <c r="Z107" i="8"/>
  <c r="J87" i="8"/>
  <c r="J124" i="8"/>
  <c r="J88" i="8"/>
  <c r="J86" i="8"/>
  <c r="E124" i="8"/>
  <c r="E88" i="8"/>
  <c r="E86" i="8"/>
  <c r="E87" i="8"/>
  <c r="R107" i="8"/>
  <c r="R92" i="8"/>
  <c r="G87" i="8"/>
  <c r="G124" i="8"/>
  <c r="G88" i="8"/>
  <c r="G86" i="8"/>
  <c r="U107" i="8"/>
  <c r="E117" i="8"/>
  <c r="E120" i="8" s="1"/>
  <c r="U92" i="8"/>
  <c r="D117" i="8"/>
  <c r="D120" i="8" s="1"/>
  <c r="D121" i="8" s="1"/>
  <c r="T92" i="8"/>
  <c r="T107" i="8"/>
  <c r="H118" i="8"/>
  <c r="X107" i="8"/>
  <c r="H117" i="8"/>
  <c r="H120" i="8" s="1"/>
  <c r="X92" i="8"/>
  <c r="I87" i="8"/>
  <c r="I124" i="8"/>
  <c r="I88" i="8"/>
  <c r="I86" i="8"/>
  <c r="V105" i="8"/>
  <c r="V90" i="8"/>
  <c r="F164" i="8"/>
  <c r="W92" i="8"/>
  <c r="W107" i="8"/>
  <c r="G117" i="8"/>
  <c r="G120" i="8" s="1"/>
  <c r="G121" i="8" s="1"/>
  <c r="K81" i="8"/>
  <c r="J81" i="8"/>
  <c r="I81" i="8"/>
  <c r="D28" i="5"/>
  <c r="C29" i="5" s="1"/>
  <c r="C32" i="5" s="1"/>
  <c r="C148" i="5" s="1"/>
  <c r="K28" i="5"/>
  <c r="F28" i="5"/>
  <c r="E29" i="5" s="1"/>
  <c r="E32" i="5" s="1"/>
  <c r="D148" i="5" s="1"/>
  <c r="V28" i="5"/>
  <c r="U29" i="5" s="1"/>
  <c r="U32" i="5" s="1"/>
  <c r="L148" i="5" s="1"/>
  <c r="T28" i="5"/>
  <c r="S29" i="5" s="1"/>
  <c r="S32" i="5" s="1"/>
  <c r="K148" i="5" s="1"/>
  <c r="H28" i="5"/>
  <c r="L28" i="5"/>
  <c r="N28" i="5"/>
  <c r="M29" i="5" s="1"/>
  <c r="M32" i="5" s="1"/>
  <c r="H148" i="5" s="1"/>
  <c r="G55" i="5"/>
  <c r="L17" i="5"/>
  <c r="U55" i="5"/>
  <c r="R153" i="1"/>
  <c r="B154" i="1"/>
  <c r="B157" i="1"/>
  <c r="B160" i="1" s="1"/>
  <c r="E153" i="1"/>
  <c r="D153" i="1"/>
  <c r="C153" i="1"/>
  <c r="S128" i="5" l="1"/>
  <c r="S130" i="5" s="1"/>
  <c r="K153" i="5" s="1"/>
  <c r="O128" i="5"/>
  <c r="O130" i="5" s="1"/>
  <c r="I153" i="5" s="1"/>
  <c r="G128" i="5"/>
  <c r="G130" i="5" s="1"/>
  <c r="E153" i="5" s="1"/>
  <c r="M128" i="5"/>
  <c r="M130" i="5" s="1"/>
  <c r="H153" i="5" s="1"/>
  <c r="O139" i="5"/>
  <c r="P138" i="5"/>
  <c r="P139" i="5" s="1"/>
  <c r="V138" i="5"/>
  <c r="V139" i="5" s="1"/>
  <c r="U139" i="5"/>
  <c r="Q139" i="5"/>
  <c r="R138" i="5"/>
  <c r="R139" i="5" s="1"/>
  <c r="N138" i="5"/>
  <c r="N139" i="5" s="1"/>
  <c r="M139" i="5"/>
  <c r="D81" i="13"/>
  <c r="T138" i="5"/>
  <c r="T139" i="5" s="1"/>
  <c r="S139" i="5"/>
  <c r="I139" i="5"/>
  <c r="J138" i="5"/>
  <c r="J139" i="5" s="1"/>
  <c r="H138" i="5"/>
  <c r="H139" i="5" s="1"/>
  <c r="G139" i="5"/>
  <c r="K139" i="5"/>
  <c r="L138" i="5"/>
  <c r="L139" i="5" s="1"/>
  <c r="Q128" i="5"/>
  <c r="Q130" i="5" s="1"/>
  <c r="J153" i="5" s="1"/>
  <c r="U128" i="5"/>
  <c r="U130" i="5" s="1"/>
  <c r="L153" i="5" s="1"/>
  <c r="C117" i="14"/>
  <c r="E126" i="5"/>
  <c r="L126" i="5"/>
  <c r="L127" i="5" s="1"/>
  <c r="K127" i="5"/>
  <c r="I128" i="5"/>
  <c r="I130" i="5" s="1"/>
  <c r="F153" i="5" s="1"/>
  <c r="G81" i="11"/>
  <c r="F137" i="14"/>
  <c r="H100" i="14"/>
  <c r="X93" i="14"/>
  <c r="F89" i="14"/>
  <c r="F146" i="14" s="1"/>
  <c r="F149" i="14" s="1"/>
  <c r="G89" i="14"/>
  <c r="G101" i="14" s="1"/>
  <c r="D89" i="14"/>
  <c r="D90" i="14" s="1"/>
  <c r="D97" i="14" s="1"/>
  <c r="E89" i="14"/>
  <c r="E101" i="14" s="1"/>
  <c r="J89" i="14"/>
  <c r="J90" i="14" s="1"/>
  <c r="Z94" i="14" s="1"/>
  <c r="V108" i="14"/>
  <c r="F140" i="14"/>
  <c r="F87" i="12" s="1"/>
  <c r="K117" i="13"/>
  <c r="K120" i="13" s="1"/>
  <c r="AA92" i="13"/>
  <c r="AA107" i="13"/>
  <c r="K118" i="13"/>
  <c r="D87" i="13"/>
  <c r="D88" i="13"/>
  <c r="D86" i="13"/>
  <c r="D124" i="13"/>
  <c r="C79" i="13"/>
  <c r="C116" i="13"/>
  <c r="E138" i="5" s="1"/>
  <c r="C78" i="13"/>
  <c r="C80" i="13"/>
  <c r="J87" i="13"/>
  <c r="J88" i="13"/>
  <c r="J86" i="13"/>
  <c r="J124" i="13"/>
  <c r="W107" i="13"/>
  <c r="W92" i="13"/>
  <c r="G117" i="13"/>
  <c r="G120" i="13" s="1"/>
  <c r="G121" i="13" s="1"/>
  <c r="E88" i="13"/>
  <c r="E86" i="13"/>
  <c r="E124" i="13"/>
  <c r="E87" i="13"/>
  <c r="D100" i="13"/>
  <c r="F124" i="13"/>
  <c r="F87" i="13"/>
  <c r="F88" i="13"/>
  <c r="F86" i="13"/>
  <c r="H87" i="13"/>
  <c r="H88" i="13"/>
  <c r="H86" i="13"/>
  <c r="H124" i="13"/>
  <c r="E117" i="13"/>
  <c r="E120" i="13" s="1"/>
  <c r="U107" i="13"/>
  <c r="U92" i="13"/>
  <c r="D117" i="13"/>
  <c r="D120" i="13" s="1"/>
  <c r="D121" i="13" s="1"/>
  <c r="T107" i="13"/>
  <c r="T92" i="13"/>
  <c r="D118" i="13"/>
  <c r="J81" i="13"/>
  <c r="B155" i="13"/>
  <c r="T105" i="13"/>
  <c r="T90" i="13"/>
  <c r="D162" i="13"/>
  <c r="I81" i="13"/>
  <c r="G88" i="13"/>
  <c r="G87" i="13"/>
  <c r="G124" i="13"/>
  <c r="G86" i="13"/>
  <c r="H81" i="13"/>
  <c r="E81" i="13"/>
  <c r="F81" i="13"/>
  <c r="J117" i="13"/>
  <c r="J120" i="13" s="1"/>
  <c r="Z107" i="13"/>
  <c r="Z92" i="13"/>
  <c r="Y92" i="13"/>
  <c r="I117" i="13"/>
  <c r="I120" i="13" s="1"/>
  <c r="I121" i="13" s="1"/>
  <c r="Y107" i="13"/>
  <c r="H118" i="13"/>
  <c r="X107" i="13"/>
  <c r="H117" i="13"/>
  <c r="H120" i="13" s="1"/>
  <c r="H121" i="13" s="1"/>
  <c r="X92" i="13"/>
  <c r="B137" i="13"/>
  <c r="B147" i="13"/>
  <c r="B121" i="13"/>
  <c r="I87" i="13"/>
  <c r="I88" i="13"/>
  <c r="I86" i="13"/>
  <c r="I124" i="13"/>
  <c r="K81" i="13"/>
  <c r="D82" i="13"/>
  <c r="F117" i="13"/>
  <c r="F120" i="13" s="1"/>
  <c r="V107" i="13"/>
  <c r="V92" i="13"/>
  <c r="G81" i="13"/>
  <c r="J140" i="14"/>
  <c r="J87" i="12" s="1"/>
  <c r="Z108" i="14"/>
  <c r="V109" i="14"/>
  <c r="F141" i="14"/>
  <c r="F163" i="14"/>
  <c r="H137" i="14"/>
  <c r="F147" i="14"/>
  <c r="F151" i="14" s="1"/>
  <c r="D100" i="14"/>
  <c r="D82" i="14"/>
  <c r="E137" i="14"/>
  <c r="I137" i="14"/>
  <c r="G125" i="14"/>
  <c r="G147" i="14" s="1"/>
  <c r="G151" i="14" s="1"/>
  <c r="J100" i="14"/>
  <c r="J82" i="14"/>
  <c r="K137" i="14"/>
  <c r="K147" i="14"/>
  <c r="K151" i="14" s="1"/>
  <c r="G100" i="14"/>
  <c r="G82" i="14"/>
  <c r="I125" i="14"/>
  <c r="I126" i="14" s="1"/>
  <c r="D125" i="14"/>
  <c r="D126" i="14" s="1"/>
  <c r="F96" i="14"/>
  <c r="V93" i="14"/>
  <c r="C81" i="14"/>
  <c r="K121" i="14"/>
  <c r="Z90" i="14"/>
  <c r="Z105" i="14"/>
  <c r="J162" i="14"/>
  <c r="O162" i="14" s="1"/>
  <c r="H125" i="14"/>
  <c r="H147" i="14" s="1"/>
  <c r="H151" i="14" s="1"/>
  <c r="D137" i="14"/>
  <c r="H121" i="14"/>
  <c r="G137" i="14"/>
  <c r="S107" i="14"/>
  <c r="S92" i="14"/>
  <c r="I100" i="14"/>
  <c r="I82" i="14"/>
  <c r="D121" i="14"/>
  <c r="I89" i="14"/>
  <c r="I146" i="14" s="1"/>
  <c r="I149" i="14" s="1"/>
  <c r="U108" i="14"/>
  <c r="E140" i="14"/>
  <c r="E87" i="12" s="1"/>
  <c r="Y108" i="14"/>
  <c r="I140" i="14"/>
  <c r="I87" i="12" s="1"/>
  <c r="B137" i="14"/>
  <c r="B147" i="14"/>
  <c r="B121" i="14"/>
  <c r="E100" i="14"/>
  <c r="E82" i="14"/>
  <c r="G121" i="14"/>
  <c r="J137" i="14"/>
  <c r="J125" i="14"/>
  <c r="J147" i="14" s="1"/>
  <c r="J151" i="14" s="1"/>
  <c r="H89" i="14"/>
  <c r="K146" i="14"/>
  <c r="K149" i="14" s="1"/>
  <c r="K100" i="14"/>
  <c r="K82" i="14"/>
  <c r="E125" i="14"/>
  <c r="E147" i="14" s="1"/>
  <c r="E151" i="14" s="1"/>
  <c r="E178" i="8"/>
  <c r="R172" i="8" s="1"/>
  <c r="O162" i="11"/>
  <c r="I137" i="11"/>
  <c r="S93" i="11"/>
  <c r="C121" i="11"/>
  <c r="S108" i="11" s="1"/>
  <c r="I115" i="5"/>
  <c r="I117" i="5" s="1"/>
  <c r="F154" i="5" s="1"/>
  <c r="C147" i="11"/>
  <c r="C151" i="11" s="1"/>
  <c r="C100" i="11"/>
  <c r="O115" i="5"/>
  <c r="O117" i="5" s="1"/>
  <c r="I154" i="5" s="1"/>
  <c r="M115" i="5"/>
  <c r="M117" i="5" s="1"/>
  <c r="H154" i="5" s="1"/>
  <c r="C146" i="11"/>
  <c r="C149" i="11" s="1"/>
  <c r="S115" i="5"/>
  <c r="S117" i="5" s="1"/>
  <c r="K154" i="5" s="1"/>
  <c r="E114" i="5"/>
  <c r="F113" i="5"/>
  <c r="F114" i="5" s="1"/>
  <c r="U114" i="5"/>
  <c r="V113" i="5"/>
  <c r="V114" i="5" s="1"/>
  <c r="H113" i="5"/>
  <c r="H114" i="5" s="1"/>
  <c r="G114" i="5"/>
  <c r="K115" i="5"/>
  <c r="K117" i="5" s="1"/>
  <c r="G154" i="5" s="1"/>
  <c r="D120" i="11"/>
  <c r="D121" i="11" s="1"/>
  <c r="T108" i="11" s="1"/>
  <c r="E120" i="11"/>
  <c r="E121" i="11" s="1"/>
  <c r="K120" i="11"/>
  <c r="K121" i="11" s="1"/>
  <c r="K163" i="11" s="1"/>
  <c r="H120" i="11"/>
  <c r="H137" i="11" s="1"/>
  <c r="G120" i="11"/>
  <c r="G137" i="11" s="1"/>
  <c r="F120" i="11"/>
  <c r="F121" i="11" s="1"/>
  <c r="V108" i="11" s="1"/>
  <c r="J120" i="11"/>
  <c r="J121" i="11" s="1"/>
  <c r="J140" i="11" s="1"/>
  <c r="J76" i="12" s="1"/>
  <c r="J88" i="12" s="1"/>
  <c r="N162" i="11"/>
  <c r="AA93" i="11"/>
  <c r="K100" i="11"/>
  <c r="K146" i="11"/>
  <c r="K149" i="11" s="1"/>
  <c r="I89" i="11"/>
  <c r="I101" i="11" s="1"/>
  <c r="F100" i="11"/>
  <c r="I82" i="11"/>
  <c r="Y93" i="11" s="1"/>
  <c r="J100" i="11"/>
  <c r="V93" i="11"/>
  <c r="I147" i="11"/>
  <c r="I151" i="11" s="1"/>
  <c r="G89" i="11"/>
  <c r="G101" i="11" s="1"/>
  <c r="D82" i="11"/>
  <c r="D100" i="11"/>
  <c r="D141" i="11"/>
  <c r="T109" i="11"/>
  <c r="I141" i="11"/>
  <c r="N141" i="11" s="1"/>
  <c r="Y109" i="11"/>
  <c r="E100" i="11"/>
  <c r="E82" i="11"/>
  <c r="M81" i="11"/>
  <c r="J96" i="11"/>
  <c r="Z93" i="11"/>
  <c r="H100" i="11"/>
  <c r="H82" i="11"/>
  <c r="I140" i="11"/>
  <c r="I76" i="12" s="1"/>
  <c r="I88" i="12" s="1"/>
  <c r="I163" i="11"/>
  <c r="Y108" i="11"/>
  <c r="D101" i="11"/>
  <c r="D146" i="11"/>
  <c r="D90" i="11"/>
  <c r="M117" i="11"/>
  <c r="H125" i="11"/>
  <c r="E125" i="11"/>
  <c r="E126" i="11" s="1"/>
  <c r="H89" i="11"/>
  <c r="J125" i="11"/>
  <c r="E89" i="11"/>
  <c r="E146" i="11" s="1"/>
  <c r="E149" i="11" s="1"/>
  <c r="F89" i="11"/>
  <c r="J89" i="11"/>
  <c r="F125" i="11"/>
  <c r="G125" i="11"/>
  <c r="G126" i="11" s="1"/>
  <c r="G100" i="11"/>
  <c r="G82" i="11"/>
  <c r="B137" i="11"/>
  <c r="B147" i="11"/>
  <c r="B121" i="11"/>
  <c r="M100" i="5"/>
  <c r="M101" i="5" s="1"/>
  <c r="I101" i="5"/>
  <c r="I103" i="5" s="1"/>
  <c r="K101" i="5"/>
  <c r="K103" i="5" s="1"/>
  <c r="U100" i="5"/>
  <c r="G100" i="5"/>
  <c r="O101" i="5"/>
  <c r="P100" i="5"/>
  <c r="P101" i="5" s="1"/>
  <c r="E105" i="5"/>
  <c r="D158" i="5" s="1"/>
  <c r="D86" i="8"/>
  <c r="D81" i="8"/>
  <c r="D82" i="8" s="1"/>
  <c r="D96" i="8" s="1"/>
  <c r="D88" i="8"/>
  <c r="D124" i="8"/>
  <c r="D125" i="8" s="1"/>
  <c r="S103" i="5"/>
  <c r="C69" i="5"/>
  <c r="C157" i="5" s="1"/>
  <c r="C56" i="5"/>
  <c r="C156" i="5" s="1"/>
  <c r="C90" i="5"/>
  <c r="C151" i="5" s="1"/>
  <c r="E90" i="5"/>
  <c r="D151" i="5" s="1"/>
  <c r="G84" i="5"/>
  <c r="G87" i="5" s="1"/>
  <c r="G29" i="5"/>
  <c r="G32" i="5" s="1"/>
  <c r="E148" i="5" s="1"/>
  <c r="F121" i="8"/>
  <c r="V108" i="8" s="1"/>
  <c r="F82" i="8"/>
  <c r="V93" i="8" s="1"/>
  <c r="E100" i="8"/>
  <c r="F148" i="8"/>
  <c r="F151" i="8" s="1"/>
  <c r="F90" i="8"/>
  <c r="F97" i="8" s="1"/>
  <c r="Q87" i="5"/>
  <c r="F101" i="8"/>
  <c r="M147" i="8"/>
  <c r="I164" i="8"/>
  <c r="R155" i="9"/>
  <c r="R156" i="9"/>
  <c r="U75" i="9"/>
  <c r="U90" i="9"/>
  <c r="Y90" i="9"/>
  <c r="Y75" i="9"/>
  <c r="F149" i="8"/>
  <c r="F153" i="8" s="1"/>
  <c r="M87" i="5"/>
  <c r="I87" i="5"/>
  <c r="S87" i="5"/>
  <c r="U87" i="5"/>
  <c r="O104" i="5"/>
  <c r="M104" i="5"/>
  <c r="K104" i="5"/>
  <c r="Q104" i="5"/>
  <c r="Q105" i="5" s="1"/>
  <c r="J158" i="5" s="1"/>
  <c r="S104" i="5"/>
  <c r="U104" i="5"/>
  <c r="I104" i="5"/>
  <c r="O87" i="5"/>
  <c r="L83" i="5"/>
  <c r="L84" i="5" s="1"/>
  <c r="K84" i="5"/>
  <c r="I29" i="5"/>
  <c r="I32" i="5" s="1"/>
  <c r="F148" i="5" s="1"/>
  <c r="K21" i="5"/>
  <c r="G150" i="5" s="1"/>
  <c r="K18" i="5"/>
  <c r="K29" i="5"/>
  <c r="K32" i="5" s="1"/>
  <c r="G148" i="5" s="1"/>
  <c r="Y90" i="8"/>
  <c r="W90" i="8"/>
  <c r="W105" i="8"/>
  <c r="Z105" i="8"/>
  <c r="Z90" i="8"/>
  <c r="T90" i="8"/>
  <c r="T105" i="8"/>
  <c r="U90" i="8"/>
  <c r="U105" i="8"/>
  <c r="E164" i="8"/>
  <c r="W93" i="8"/>
  <c r="G100" i="8"/>
  <c r="I89" i="8"/>
  <c r="I101" i="8" s="1"/>
  <c r="U93" i="8"/>
  <c r="E89" i="8"/>
  <c r="E101" i="8" s="1"/>
  <c r="H100" i="8"/>
  <c r="X93" i="8"/>
  <c r="G89" i="8"/>
  <c r="G101" i="8" s="1"/>
  <c r="D179" i="8"/>
  <c r="Q171" i="8" s="1"/>
  <c r="D178" i="8"/>
  <c r="R171" i="8" s="1"/>
  <c r="Y108" i="8"/>
  <c r="I142" i="8"/>
  <c r="I75" i="12" s="1"/>
  <c r="I85" i="12" s="1"/>
  <c r="H139" i="8"/>
  <c r="H121" i="8"/>
  <c r="H89" i="8"/>
  <c r="K100" i="8"/>
  <c r="K148" i="8"/>
  <c r="K151" i="8" s="1"/>
  <c r="K82" i="8"/>
  <c r="I125" i="8"/>
  <c r="I126" i="8" s="1"/>
  <c r="D139" i="8"/>
  <c r="M117" i="8"/>
  <c r="B120" i="8"/>
  <c r="J139" i="8"/>
  <c r="W108" i="8"/>
  <c r="G142" i="8"/>
  <c r="G75" i="12" s="1"/>
  <c r="G85" i="12" s="1"/>
  <c r="I100" i="8"/>
  <c r="I82" i="8"/>
  <c r="I139" i="8"/>
  <c r="E125" i="8"/>
  <c r="E126" i="8" s="1"/>
  <c r="K139" i="8"/>
  <c r="K149" i="8"/>
  <c r="K153" i="8" s="1"/>
  <c r="G125" i="8"/>
  <c r="G126" i="8" s="1"/>
  <c r="E139" i="8"/>
  <c r="E121" i="8"/>
  <c r="J89" i="8"/>
  <c r="J90" i="8" s="1"/>
  <c r="Z94" i="8" s="1"/>
  <c r="C165" i="8"/>
  <c r="C142" i="8"/>
  <c r="C75" i="12" s="1"/>
  <c r="C85" i="12" s="1"/>
  <c r="S108" i="8"/>
  <c r="K121" i="8"/>
  <c r="T108" i="8"/>
  <c r="D142" i="8"/>
  <c r="D75" i="12" s="1"/>
  <c r="D85" i="12" s="1"/>
  <c r="J125" i="8"/>
  <c r="J149" i="8" s="1"/>
  <c r="J153" i="8" s="1"/>
  <c r="J142" i="8"/>
  <c r="J75" i="12" s="1"/>
  <c r="J85" i="12" s="1"/>
  <c r="Z108" i="8"/>
  <c r="H125" i="8"/>
  <c r="H126" i="8" s="1"/>
  <c r="G139" i="8"/>
  <c r="B148" i="8"/>
  <c r="B100" i="8"/>
  <c r="B82" i="8"/>
  <c r="J100" i="8"/>
  <c r="J82" i="8"/>
  <c r="B159" i="1"/>
  <c r="E154" i="1"/>
  <c r="O156" i="1" s="1"/>
  <c r="M156" i="1"/>
  <c r="B158" i="1"/>
  <c r="B161" i="1" s="1"/>
  <c r="C154" i="1"/>
  <c r="O154" i="1" s="1"/>
  <c r="M154" i="1"/>
  <c r="D154" i="1"/>
  <c r="O155" i="1" s="1"/>
  <c r="M155" i="1"/>
  <c r="B155" i="1"/>
  <c r="N153" i="1" s="1"/>
  <c r="O153" i="1"/>
  <c r="D157" i="1"/>
  <c r="C157" i="1"/>
  <c r="E157" i="1"/>
  <c r="C20" i="1"/>
  <c r="D20" i="1"/>
  <c r="F89" i="13" l="1"/>
  <c r="F101" i="13" s="1"/>
  <c r="I140" i="5"/>
  <c r="I142" i="5" s="1"/>
  <c r="F152" i="5" s="1"/>
  <c r="Q140" i="5"/>
  <c r="Q142" i="5" s="1"/>
  <c r="J152" i="5" s="1"/>
  <c r="U140" i="5"/>
  <c r="U142" i="5" s="1"/>
  <c r="L152" i="5" s="1"/>
  <c r="O140" i="5"/>
  <c r="O142" i="5" s="1"/>
  <c r="I152" i="5" s="1"/>
  <c r="G140" i="5"/>
  <c r="G142" i="5" s="1"/>
  <c r="E152" i="5" s="1"/>
  <c r="M140" i="5"/>
  <c r="M142" i="5" s="1"/>
  <c r="H152" i="5" s="1"/>
  <c r="F138" i="5"/>
  <c r="F139" i="5" s="1"/>
  <c r="E139" i="5"/>
  <c r="G89" i="13"/>
  <c r="G101" i="13" s="1"/>
  <c r="S140" i="5"/>
  <c r="S142" i="5" s="1"/>
  <c r="K152" i="5" s="1"/>
  <c r="K140" i="5"/>
  <c r="K142" i="5" s="1"/>
  <c r="G152" i="5" s="1"/>
  <c r="K128" i="5"/>
  <c r="K130" i="5" s="1"/>
  <c r="G153" i="5" s="1"/>
  <c r="F126" i="5"/>
  <c r="F127" i="5" s="1"/>
  <c r="E127" i="5"/>
  <c r="G146" i="14"/>
  <c r="G149" i="14" s="1"/>
  <c r="G90" i="14"/>
  <c r="G97" i="14" s="1"/>
  <c r="T94" i="14"/>
  <c r="J146" i="14"/>
  <c r="J149" i="14" s="1"/>
  <c r="D146" i="14"/>
  <c r="D149" i="14" s="1"/>
  <c r="D101" i="14"/>
  <c r="F90" i="14"/>
  <c r="V94" i="14" s="1"/>
  <c r="F101" i="14"/>
  <c r="E146" i="14"/>
  <c r="E149" i="14" s="1"/>
  <c r="E90" i="14"/>
  <c r="E97" i="14" s="1"/>
  <c r="G126" i="14"/>
  <c r="G141" i="14" s="1"/>
  <c r="M89" i="14"/>
  <c r="D147" i="14"/>
  <c r="D151" i="14" s="1"/>
  <c r="T108" i="13"/>
  <c r="D140" i="13"/>
  <c r="D86" i="12" s="1"/>
  <c r="H100" i="13"/>
  <c r="H82" i="13"/>
  <c r="T93" i="13"/>
  <c r="D96" i="13"/>
  <c r="B151" i="13"/>
  <c r="I137" i="13"/>
  <c r="E100" i="13"/>
  <c r="E82" i="13"/>
  <c r="N162" i="13"/>
  <c r="O162" i="13"/>
  <c r="H89" i="13"/>
  <c r="H146" i="13" s="1"/>
  <c r="H149" i="13" s="1"/>
  <c r="F125" i="13"/>
  <c r="F126" i="13" s="1"/>
  <c r="G137" i="13"/>
  <c r="D89" i="13"/>
  <c r="I140" i="13"/>
  <c r="I86" i="12" s="1"/>
  <c r="Y108" i="13"/>
  <c r="G146" i="13"/>
  <c r="G149" i="13" s="1"/>
  <c r="G100" i="13"/>
  <c r="G82" i="13"/>
  <c r="I89" i="13"/>
  <c r="G125" i="13"/>
  <c r="G147" i="13" s="1"/>
  <c r="G151" i="13" s="1"/>
  <c r="S92" i="13"/>
  <c r="C117" i="13"/>
  <c r="S107" i="13"/>
  <c r="H140" i="13"/>
  <c r="H86" i="12" s="1"/>
  <c r="X108" i="13"/>
  <c r="C81" i="13"/>
  <c r="H137" i="13"/>
  <c r="J125" i="13"/>
  <c r="J147" i="13" s="1"/>
  <c r="J151" i="13" s="1"/>
  <c r="D137" i="13"/>
  <c r="J137" i="13"/>
  <c r="J100" i="13"/>
  <c r="J82" i="13"/>
  <c r="E137" i="13"/>
  <c r="E125" i="13"/>
  <c r="E147" i="13" s="1"/>
  <c r="E151" i="13" s="1"/>
  <c r="J89" i="13"/>
  <c r="J90" i="13" s="1"/>
  <c r="Z94" i="13" s="1"/>
  <c r="K100" i="13"/>
  <c r="K146" i="13"/>
  <c r="K149" i="13" s="1"/>
  <c r="K82" i="13"/>
  <c r="G140" i="13"/>
  <c r="G86" i="12" s="1"/>
  <c r="W108" i="13"/>
  <c r="I125" i="13"/>
  <c r="I147" i="13" s="1"/>
  <c r="I151" i="13" s="1"/>
  <c r="F137" i="13"/>
  <c r="J121" i="13"/>
  <c r="G90" i="13"/>
  <c r="E121" i="13"/>
  <c r="F90" i="13"/>
  <c r="E89" i="13"/>
  <c r="K137" i="13"/>
  <c r="K147" i="13"/>
  <c r="K151" i="13" s="1"/>
  <c r="F121" i="13"/>
  <c r="B163" i="13"/>
  <c r="R108" i="13"/>
  <c r="B140" i="13"/>
  <c r="B86" i="12" s="1"/>
  <c r="F146" i="13"/>
  <c r="F149" i="13" s="1"/>
  <c r="F100" i="13"/>
  <c r="F82" i="13"/>
  <c r="I100" i="13"/>
  <c r="I82" i="13"/>
  <c r="H125" i="13"/>
  <c r="H147" i="13" s="1"/>
  <c r="H151" i="13" s="1"/>
  <c r="D125" i="13"/>
  <c r="D147" i="13" s="1"/>
  <c r="D151" i="13" s="1"/>
  <c r="K121" i="13"/>
  <c r="I141" i="14"/>
  <c r="N141" i="14" s="1"/>
  <c r="Y109" i="14"/>
  <c r="I163" i="14"/>
  <c r="B140" i="14"/>
  <c r="B87" i="12" s="1"/>
  <c r="R108" i="14"/>
  <c r="B163" i="14"/>
  <c r="J126" i="14"/>
  <c r="B151" i="14"/>
  <c r="C120" i="14"/>
  <c r="M117" i="14"/>
  <c r="H126" i="14"/>
  <c r="M125" i="14"/>
  <c r="N162" i="14"/>
  <c r="T108" i="14"/>
  <c r="D140" i="14"/>
  <c r="D87" i="12" s="1"/>
  <c r="D163" i="14"/>
  <c r="G96" i="14"/>
  <c r="W93" i="14"/>
  <c r="AA93" i="14"/>
  <c r="K96" i="14"/>
  <c r="G140" i="14"/>
  <c r="G87" i="12" s="1"/>
  <c r="W108" i="14"/>
  <c r="I96" i="14"/>
  <c r="Y93" i="14"/>
  <c r="I147" i="14"/>
  <c r="I151" i="14" s="1"/>
  <c r="H101" i="14"/>
  <c r="H146" i="14"/>
  <c r="H149" i="14" s="1"/>
  <c r="H90" i="14"/>
  <c r="T93" i="14"/>
  <c r="D96" i="14"/>
  <c r="E126" i="14"/>
  <c r="E96" i="14"/>
  <c r="U93" i="14"/>
  <c r="H140" i="14"/>
  <c r="H87" i="12" s="1"/>
  <c r="X108" i="14"/>
  <c r="AA108" i="14"/>
  <c r="K163" i="14"/>
  <c r="K140" i="14"/>
  <c r="K87" i="12" s="1"/>
  <c r="I101" i="14"/>
  <c r="I90" i="14"/>
  <c r="T109" i="14"/>
  <c r="D141" i="14"/>
  <c r="C146" i="14"/>
  <c r="M81" i="14"/>
  <c r="C100" i="14"/>
  <c r="C82" i="14"/>
  <c r="W94" i="14"/>
  <c r="J96" i="14"/>
  <c r="Z93" i="14"/>
  <c r="C140" i="11"/>
  <c r="C76" i="12" s="1"/>
  <c r="C88" i="12" s="1"/>
  <c r="C163" i="11"/>
  <c r="Z108" i="11"/>
  <c r="D163" i="11"/>
  <c r="D147" i="11"/>
  <c r="D151" i="11" s="1"/>
  <c r="D140" i="11"/>
  <c r="D76" i="12" s="1"/>
  <c r="D88" i="12" s="1"/>
  <c r="E137" i="11"/>
  <c r="U115" i="5"/>
  <c r="U117" i="5" s="1"/>
  <c r="L154" i="5" s="1"/>
  <c r="G115" i="5"/>
  <c r="G117" i="5" s="1"/>
  <c r="E154" i="5" s="1"/>
  <c r="E115" i="5"/>
  <c r="E117" i="5" s="1"/>
  <c r="D154" i="5" s="1"/>
  <c r="H147" i="11"/>
  <c r="H151" i="11" s="1"/>
  <c r="H121" i="11"/>
  <c r="H140" i="11" s="1"/>
  <c r="H76" i="12" s="1"/>
  <c r="H88" i="12" s="1"/>
  <c r="F147" i="11"/>
  <c r="F151" i="11" s="1"/>
  <c r="K147" i="11"/>
  <c r="K151" i="11" s="1"/>
  <c r="F140" i="11"/>
  <c r="F76" i="12" s="1"/>
  <c r="F88" i="12" s="1"/>
  <c r="AA108" i="11"/>
  <c r="F137" i="11"/>
  <c r="D137" i="11"/>
  <c r="G121" i="11"/>
  <c r="G163" i="11" s="1"/>
  <c r="J147" i="11"/>
  <c r="J151" i="11" s="1"/>
  <c r="K140" i="11"/>
  <c r="K76" i="12" s="1"/>
  <c r="K88" i="12" s="1"/>
  <c r="J137" i="11"/>
  <c r="K137" i="11"/>
  <c r="I146" i="11"/>
  <c r="I149" i="11" s="1"/>
  <c r="I90" i="11"/>
  <c r="I96" i="11"/>
  <c r="G90" i="11"/>
  <c r="G97" i="11" s="1"/>
  <c r="G147" i="11"/>
  <c r="G151" i="11" s="1"/>
  <c r="M125" i="11"/>
  <c r="M127" i="11" s="1"/>
  <c r="M128" i="11" s="1"/>
  <c r="L132" i="11" s="1"/>
  <c r="D111" i="12" s="1"/>
  <c r="G146" i="11"/>
  <c r="G149" i="11" s="1"/>
  <c r="T93" i="11"/>
  <c r="D96" i="11"/>
  <c r="J126" i="11"/>
  <c r="Z109" i="11" s="1"/>
  <c r="E147" i="11"/>
  <c r="E151" i="11" s="1"/>
  <c r="H126" i="11"/>
  <c r="X109" i="11" s="1"/>
  <c r="U109" i="11"/>
  <c r="E141" i="11"/>
  <c r="G96" i="11"/>
  <c r="W93" i="11"/>
  <c r="E101" i="11"/>
  <c r="E90" i="11"/>
  <c r="H96" i="11"/>
  <c r="X93" i="11"/>
  <c r="W109" i="11"/>
  <c r="G141" i="11"/>
  <c r="J146" i="11"/>
  <c r="J149" i="11" s="1"/>
  <c r="J90" i="11"/>
  <c r="Z94" i="11" s="1"/>
  <c r="T94" i="11"/>
  <c r="D97" i="11"/>
  <c r="U108" i="11"/>
  <c r="E140" i="11"/>
  <c r="E76" i="12" s="1"/>
  <c r="E88" i="12" s="1"/>
  <c r="E163" i="11"/>
  <c r="H101" i="11"/>
  <c r="H90" i="11"/>
  <c r="D149" i="11"/>
  <c r="H146" i="11"/>
  <c r="H149" i="11" s="1"/>
  <c r="B163" i="11"/>
  <c r="B140" i="11"/>
  <c r="B76" i="12" s="1"/>
  <c r="B88" i="12" s="1"/>
  <c r="R108" i="11"/>
  <c r="F126" i="11"/>
  <c r="U93" i="11"/>
  <c r="E96" i="11"/>
  <c r="B151" i="11"/>
  <c r="F101" i="11"/>
  <c r="F146" i="11"/>
  <c r="F149" i="11" s="1"/>
  <c r="F90" i="11"/>
  <c r="M89" i="11"/>
  <c r="M92" i="11" s="1"/>
  <c r="M93" i="11" s="1"/>
  <c r="N100" i="5"/>
  <c r="N101" i="5" s="1"/>
  <c r="M103" i="5" s="1"/>
  <c r="M105" i="5" s="1"/>
  <c r="H158" i="5" s="1"/>
  <c r="I105" i="5"/>
  <c r="F158" i="5" s="1"/>
  <c r="K105" i="5"/>
  <c r="G158" i="5" s="1"/>
  <c r="V100" i="5"/>
  <c r="V101" i="5" s="1"/>
  <c r="U101" i="5"/>
  <c r="D100" i="8"/>
  <c r="O103" i="5"/>
  <c r="O105" i="5" s="1"/>
  <c r="I158" i="5" s="1"/>
  <c r="G101" i="5"/>
  <c r="H100" i="5"/>
  <c r="H101" i="5" s="1"/>
  <c r="S105" i="5"/>
  <c r="K158" i="5" s="1"/>
  <c r="D89" i="8"/>
  <c r="D101" i="8" s="1"/>
  <c r="T93" i="8"/>
  <c r="M81" i="8"/>
  <c r="F96" i="8"/>
  <c r="V94" i="8"/>
  <c r="F165" i="8"/>
  <c r="O164" i="8"/>
  <c r="F142" i="8"/>
  <c r="F75" i="12" s="1"/>
  <c r="F85" i="12" s="1"/>
  <c r="N164" i="8"/>
  <c r="Q90" i="5"/>
  <c r="J151" i="5" s="1"/>
  <c r="S90" i="5"/>
  <c r="K151" i="5" s="1"/>
  <c r="I90" i="5"/>
  <c r="F151" i="5" s="1"/>
  <c r="O90" i="5"/>
  <c r="I151" i="5" s="1"/>
  <c r="M90" i="5"/>
  <c r="H151" i="5" s="1"/>
  <c r="K87" i="5"/>
  <c r="K90" i="5" s="1"/>
  <c r="G151" i="5" s="1"/>
  <c r="G90" i="5"/>
  <c r="E151" i="5" s="1"/>
  <c r="U90" i="5"/>
  <c r="L151" i="5" s="1"/>
  <c r="I90" i="8"/>
  <c r="I97" i="8" s="1"/>
  <c r="I148" i="8"/>
  <c r="I151" i="8" s="1"/>
  <c r="J148" i="8"/>
  <c r="J151" i="8" s="1"/>
  <c r="J126" i="8"/>
  <c r="J165" i="8" s="1"/>
  <c r="E90" i="8"/>
  <c r="E97" i="8" s="1"/>
  <c r="E148" i="8"/>
  <c r="E151" i="8" s="1"/>
  <c r="G148" i="8"/>
  <c r="G151" i="8" s="1"/>
  <c r="M125" i="8"/>
  <c r="M127" i="8" s="1"/>
  <c r="M128" i="8" s="1"/>
  <c r="C111" i="12" s="1"/>
  <c r="H149" i="8"/>
  <c r="H153" i="8" s="1"/>
  <c r="G90" i="8"/>
  <c r="W94" i="8" s="1"/>
  <c r="G149" i="8"/>
  <c r="G153" i="8" s="1"/>
  <c r="G143" i="8"/>
  <c r="W109" i="8"/>
  <c r="G165" i="8"/>
  <c r="H143" i="8"/>
  <c r="X109" i="8"/>
  <c r="I143" i="8"/>
  <c r="N143" i="8" s="1"/>
  <c r="Y109" i="8"/>
  <c r="I165" i="8"/>
  <c r="E143" i="8"/>
  <c r="U109" i="8"/>
  <c r="D149" i="8"/>
  <c r="D153" i="8" s="1"/>
  <c r="D126" i="8"/>
  <c r="Z93" i="8"/>
  <c r="J96" i="8"/>
  <c r="B151" i="8"/>
  <c r="I149" i="8"/>
  <c r="I153" i="8" s="1"/>
  <c r="H165" i="8"/>
  <c r="H142" i="8"/>
  <c r="H75" i="12" s="1"/>
  <c r="H85" i="12" s="1"/>
  <c r="X108" i="8"/>
  <c r="K96" i="8"/>
  <c r="AA93" i="8"/>
  <c r="B149" i="8"/>
  <c r="B139" i="8"/>
  <c r="B121" i="8"/>
  <c r="I96" i="8"/>
  <c r="Y93" i="8"/>
  <c r="E142" i="8"/>
  <c r="E75" i="12" s="1"/>
  <c r="E85" i="12" s="1"/>
  <c r="E165" i="8"/>
  <c r="U108" i="8"/>
  <c r="H101" i="8"/>
  <c r="H148" i="8"/>
  <c r="H151" i="8" s="1"/>
  <c r="H90" i="8"/>
  <c r="R93" i="8"/>
  <c r="B96" i="8"/>
  <c r="K165" i="8"/>
  <c r="K142" i="8"/>
  <c r="K75" i="12" s="1"/>
  <c r="K85" i="12" s="1"/>
  <c r="AA108" i="8"/>
  <c r="E149" i="8"/>
  <c r="E153" i="8" s="1"/>
  <c r="P156" i="1"/>
  <c r="E155" i="1"/>
  <c r="N156" i="1" s="1"/>
  <c r="D155" i="1"/>
  <c r="N155" i="1" s="1"/>
  <c r="C155" i="1"/>
  <c r="N154" i="1" s="1"/>
  <c r="D160" i="1"/>
  <c r="P155" i="1"/>
  <c r="D159" i="1"/>
  <c r="D158" i="1"/>
  <c r="C159" i="1"/>
  <c r="C158" i="1"/>
  <c r="C160" i="1"/>
  <c r="E159" i="1"/>
  <c r="E158" i="1"/>
  <c r="E160" i="1"/>
  <c r="M147" i="1"/>
  <c r="M148" i="1"/>
  <c r="M149" i="1"/>
  <c r="E128" i="5" l="1"/>
  <c r="E130" i="5" s="1"/>
  <c r="D153" i="5" s="1"/>
  <c r="J126" i="13"/>
  <c r="J141" i="13" s="1"/>
  <c r="E126" i="13"/>
  <c r="U109" i="13" s="1"/>
  <c r="G126" i="13"/>
  <c r="G163" i="13" s="1"/>
  <c r="E140" i="5"/>
  <c r="E142" i="5" s="1"/>
  <c r="D152" i="5" s="1"/>
  <c r="D126" i="13"/>
  <c r="T109" i="13" s="1"/>
  <c r="G163" i="14"/>
  <c r="F97" i="14"/>
  <c r="U94" i="14"/>
  <c r="M92" i="14"/>
  <c r="M93" i="14" s="1"/>
  <c r="W109" i="14"/>
  <c r="M127" i="14"/>
  <c r="M128" i="14" s="1"/>
  <c r="L132" i="14" s="1"/>
  <c r="L134" i="14" s="1"/>
  <c r="F6" i="14" s="1"/>
  <c r="V109" i="13"/>
  <c r="F141" i="13"/>
  <c r="M125" i="13"/>
  <c r="E101" i="13"/>
  <c r="E90" i="13"/>
  <c r="I126" i="13"/>
  <c r="U108" i="13"/>
  <c r="E140" i="13"/>
  <c r="E86" i="12" s="1"/>
  <c r="E163" i="13"/>
  <c r="I101" i="13"/>
  <c r="I90" i="13"/>
  <c r="H96" i="13"/>
  <c r="X93" i="13"/>
  <c r="U93" i="13"/>
  <c r="E96" i="13"/>
  <c r="H126" i="13"/>
  <c r="G97" i="13"/>
  <c r="W94" i="13"/>
  <c r="W93" i="13"/>
  <c r="G96" i="13"/>
  <c r="E146" i="13"/>
  <c r="E149" i="13" s="1"/>
  <c r="F97" i="13"/>
  <c r="V94" i="13"/>
  <c r="G141" i="13"/>
  <c r="W109" i="13"/>
  <c r="I96" i="13"/>
  <c r="Y93" i="13"/>
  <c r="Z108" i="13"/>
  <c r="J140" i="13"/>
  <c r="J86" i="12" s="1"/>
  <c r="K96" i="13"/>
  <c r="AA93" i="13"/>
  <c r="J96" i="13"/>
  <c r="Z93" i="13"/>
  <c r="C120" i="13"/>
  <c r="M117" i="13"/>
  <c r="I146" i="13"/>
  <c r="I149" i="13" s="1"/>
  <c r="V108" i="13"/>
  <c r="F140" i="13"/>
  <c r="F86" i="12" s="1"/>
  <c r="F163" i="13"/>
  <c r="F147" i="13"/>
  <c r="F151" i="13" s="1"/>
  <c r="J146" i="13"/>
  <c r="J149" i="13" s="1"/>
  <c r="D163" i="13"/>
  <c r="H101" i="13"/>
  <c r="H90" i="13"/>
  <c r="M89" i="13"/>
  <c r="D101" i="13"/>
  <c r="D146" i="13"/>
  <c r="D149" i="13" s="1"/>
  <c r="D90" i="13"/>
  <c r="AA108" i="13"/>
  <c r="K140" i="13"/>
  <c r="K86" i="12" s="1"/>
  <c r="K163" i="13"/>
  <c r="F96" i="13"/>
  <c r="V93" i="13"/>
  <c r="C100" i="13"/>
  <c r="M81" i="13"/>
  <c r="C146" i="13"/>
  <c r="C82" i="13"/>
  <c r="I97" i="14"/>
  <c r="Y94" i="14"/>
  <c r="J141" i="14"/>
  <c r="N140" i="14" s="1"/>
  <c r="Z109" i="14"/>
  <c r="J163" i="14"/>
  <c r="S93" i="14"/>
  <c r="C96" i="14"/>
  <c r="U109" i="14"/>
  <c r="E141" i="14"/>
  <c r="E163" i="14"/>
  <c r="H141" i="14"/>
  <c r="X109" i="14"/>
  <c r="C137" i="14"/>
  <c r="C147" i="14"/>
  <c r="C121" i="14"/>
  <c r="C149" i="14"/>
  <c r="M149" i="14" s="1"/>
  <c r="M146" i="14"/>
  <c r="H97" i="14"/>
  <c r="X94" i="14"/>
  <c r="H163" i="14"/>
  <c r="X108" i="11"/>
  <c r="W108" i="11"/>
  <c r="G140" i="11"/>
  <c r="I97" i="11"/>
  <c r="Y94" i="11"/>
  <c r="W94" i="11"/>
  <c r="M147" i="11"/>
  <c r="J141" i="11"/>
  <c r="N140" i="11" s="1"/>
  <c r="J163" i="11"/>
  <c r="H163" i="11"/>
  <c r="H141" i="11"/>
  <c r="M151" i="11"/>
  <c r="V109" i="11"/>
  <c r="F141" i="11"/>
  <c r="F163" i="11"/>
  <c r="M146" i="11"/>
  <c r="F97" i="11"/>
  <c r="V94" i="11"/>
  <c r="M149" i="11"/>
  <c r="B157" i="11"/>
  <c r="B158" i="11" s="1"/>
  <c r="D158" i="11" s="1"/>
  <c r="L134" i="11"/>
  <c r="F6" i="11" s="1"/>
  <c r="O140" i="11"/>
  <c r="H97" i="11"/>
  <c r="X94" i="11"/>
  <c r="U94" i="11"/>
  <c r="E97" i="11"/>
  <c r="U103" i="5"/>
  <c r="U105" i="5" s="1"/>
  <c r="L158" i="5" s="1"/>
  <c r="D90" i="8"/>
  <c r="T94" i="8" s="1"/>
  <c r="G103" i="5"/>
  <c r="G105" i="5" s="1"/>
  <c r="E158" i="5" s="1"/>
  <c r="D148" i="8"/>
  <c r="D151" i="8" s="1"/>
  <c r="M151" i="8" s="1"/>
  <c r="M89" i="8"/>
  <c r="M92" i="8" s="1"/>
  <c r="M93" i="8" s="1"/>
  <c r="U94" i="8"/>
  <c r="Y94" i="8"/>
  <c r="Z109" i="8"/>
  <c r="J143" i="8"/>
  <c r="N142" i="8" s="1"/>
  <c r="G97" i="8"/>
  <c r="L134" i="8"/>
  <c r="L137" i="8" s="1"/>
  <c r="B165" i="8"/>
  <c r="B142" i="8"/>
  <c r="R108" i="8"/>
  <c r="T109" i="8"/>
  <c r="D143" i="8"/>
  <c r="D165" i="8"/>
  <c r="H97" i="8"/>
  <c r="X94" i="8"/>
  <c r="M149" i="8"/>
  <c r="B153" i="8"/>
  <c r="M153" i="8" s="1"/>
  <c r="D161" i="1"/>
  <c r="C161" i="1"/>
  <c r="C163" i="1" s="1"/>
  <c r="E161" i="1"/>
  <c r="E141" i="13" l="1"/>
  <c r="D141" i="13"/>
  <c r="Z109" i="13"/>
  <c r="J163" i="13"/>
  <c r="M127" i="13"/>
  <c r="M128" i="13" s="1"/>
  <c r="L132" i="13" s="1"/>
  <c r="B157" i="13" s="1"/>
  <c r="B158" i="13" s="1"/>
  <c r="D158" i="13" s="1"/>
  <c r="M92" i="13"/>
  <c r="M93" i="13" s="1"/>
  <c r="B157" i="14"/>
  <c r="B158" i="14" s="1"/>
  <c r="D158" i="14" s="1"/>
  <c r="M141" i="14"/>
  <c r="O141" i="14"/>
  <c r="L141" i="14"/>
  <c r="I141" i="13"/>
  <c r="Y109" i="13"/>
  <c r="I163" i="13"/>
  <c r="E97" i="13"/>
  <c r="U94" i="13"/>
  <c r="C96" i="13"/>
  <c r="S93" i="13"/>
  <c r="T94" i="13"/>
  <c r="D97" i="13"/>
  <c r="C149" i="13"/>
  <c r="M149" i="13" s="1"/>
  <c r="M146" i="13"/>
  <c r="C137" i="13"/>
  <c r="C147" i="13"/>
  <c r="C121" i="13"/>
  <c r="H97" i="13"/>
  <c r="X94" i="13"/>
  <c r="H141" i="13"/>
  <c r="X109" i="13"/>
  <c r="H163" i="13"/>
  <c r="I97" i="13"/>
  <c r="Y94" i="13"/>
  <c r="S108" i="14"/>
  <c r="C163" i="14"/>
  <c r="C140" i="14"/>
  <c r="C87" i="12" s="1"/>
  <c r="C151" i="14"/>
  <c r="M151" i="14" s="1"/>
  <c r="M147" i="14"/>
  <c r="L142" i="8"/>
  <c r="B75" i="12"/>
  <c r="B85" i="12" s="1"/>
  <c r="L140" i="11"/>
  <c r="G76" i="12"/>
  <c r="G88" i="12" s="1"/>
  <c r="P140" i="11"/>
  <c r="M140" i="11"/>
  <c r="O163" i="11"/>
  <c r="C124" i="12" s="1"/>
  <c r="N142" i="11"/>
  <c r="N163" i="11"/>
  <c r="B124" i="12" s="1"/>
  <c r="M141" i="11"/>
  <c r="L141" i="11"/>
  <c r="O141" i="11"/>
  <c r="O142" i="11" s="1"/>
  <c r="L143" i="8"/>
  <c r="D97" i="8"/>
  <c r="M148" i="8"/>
  <c r="B159" i="8"/>
  <c r="B160" i="8" s="1"/>
  <c r="D160" i="8" s="1"/>
  <c r="O165" i="8"/>
  <c r="C123" i="12" s="1"/>
  <c r="N165" i="8"/>
  <c r="B123" i="12" s="1"/>
  <c r="N144" i="8"/>
  <c r="P142" i="8"/>
  <c r="O142" i="8"/>
  <c r="M142" i="8"/>
  <c r="O143" i="8"/>
  <c r="M143" i="8"/>
  <c r="D163" i="1"/>
  <c r="Q155" i="1" s="1"/>
  <c r="D162" i="1"/>
  <c r="R155" i="1" s="1"/>
  <c r="E163" i="1"/>
  <c r="Q156" i="1" s="1"/>
  <c r="E162" i="1"/>
  <c r="R156" i="1" s="1"/>
  <c r="R10" i="1"/>
  <c r="Q5" i="1"/>
  <c r="Q6" i="1"/>
  <c r="Q7" i="1"/>
  <c r="Q8" i="1"/>
  <c r="Q9" i="1"/>
  <c r="Q10" i="1"/>
  <c r="Q11" i="1"/>
  <c r="Q12" i="1"/>
  <c r="O141" i="13" l="1"/>
  <c r="M141" i="13"/>
  <c r="L134" i="13"/>
  <c r="F6" i="13" s="1"/>
  <c r="L141" i="13"/>
  <c r="C140" i="13"/>
  <c r="C86" i="12" s="1"/>
  <c r="S108" i="13"/>
  <c r="C163" i="13"/>
  <c r="N141" i="13"/>
  <c r="N140" i="13"/>
  <c r="C151" i="13"/>
  <c r="M151" i="13" s="1"/>
  <c r="M147" i="13"/>
  <c r="P140" i="14"/>
  <c r="O140" i="14"/>
  <c r="O142" i="14" s="1"/>
  <c r="M140" i="14"/>
  <c r="M142" i="14" s="1"/>
  <c r="N142" i="14"/>
  <c r="L140" i="14"/>
  <c r="L142" i="14" s="1"/>
  <c r="O163" i="14"/>
  <c r="N163" i="14"/>
  <c r="L144" i="8"/>
  <c r="F6" i="8"/>
  <c r="C113" i="12"/>
  <c r="L142" i="11"/>
  <c r="M142" i="11"/>
  <c r="O144" i="8"/>
  <c r="M144" i="8"/>
  <c r="AA59" i="1"/>
  <c r="S59" i="1"/>
  <c r="T59" i="1"/>
  <c r="U59" i="1"/>
  <c r="V59" i="1"/>
  <c r="W59" i="1"/>
  <c r="X59" i="1"/>
  <c r="Y59" i="1"/>
  <c r="Z59" i="1"/>
  <c r="R59" i="1"/>
  <c r="Q66" i="1"/>
  <c r="Q67" i="1"/>
  <c r="O163" i="13" l="1"/>
  <c r="N163" i="13"/>
  <c r="O140" i="13"/>
  <c r="O142" i="13" s="1"/>
  <c r="N142" i="13"/>
  <c r="M140" i="13"/>
  <c r="M142" i="13" s="1"/>
  <c r="L140" i="13"/>
  <c r="L142" i="13" s="1"/>
  <c r="P140" i="13"/>
  <c r="R40" i="1"/>
  <c r="R39" i="1"/>
  <c r="A60" i="1" l="1"/>
  <c r="C60" i="1"/>
  <c r="D60" i="1"/>
  <c r="E60" i="1"/>
  <c r="F60" i="1"/>
  <c r="G60" i="1"/>
  <c r="H60" i="1"/>
  <c r="I60" i="1"/>
  <c r="J60" i="1"/>
  <c r="K60" i="1"/>
  <c r="B60" i="1"/>
  <c r="E17" i="1" l="1"/>
  <c r="A101" i="1" l="1"/>
  <c r="B37" i="1" l="1"/>
  <c r="A62" i="1" l="1"/>
  <c r="A63" i="1"/>
  <c r="A64" i="1"/>
  <c r="A65" i="1"/>
  <c r="A66" i="1"/>
  <c r="A67" i="1"/>
  <c r="B58" i="1"/>
  <c r="C58" i="1"/>
  <c r="D58" i="1"/>
  <c r="E58" i="1"/>
  <c r="F58" i="1"/>
  <c r="G58" i="1"/>
  <c r="H58" i="1"/>
  <c r="I58" i="1"/>
  <c r="J58" i="1"/>
  <c r="K58" i="1"/>
  <c r="A58" i="1"/>
  <c r="B39" i="1" l="1"/>
  <c r="B38" i="1"/>
  <c r="B40" i="1" l="1"/>
  <c r="B54" i="1" s="1"/>
  <c r="B8" i="1"/>
  <c r="B41" i="1" l="1"/>
  <c r="B130" i="1"/>
  <c r="K37" i="1"/>
  <c r="K38" i="1"/>
  <c r="K39" i="1"/>
  <c r="E23" i="1"/>
  <c r="E13" i="1"/>
  <c r="E15" i="1"/>
  <c r="E16" i="1"/>
  <c r="E12" i="1"/>
  <c r="D5" i="1"/>
  <c r="E5" i="1" s="1"/>
  <c r="C4" i="1"/>
  <c r="R77" i="1" l="1"/>
  <c r="B147" i="1"/>
  <c r="R62" i="1"/>
  <c r="C37" i="1"/>
  <c r="C61" i="1"/>
  <c r="C38" i="1"/>
  <c r="C39" i="1"/>
  <c r="E37" i="1"/>
  <c r="E61" i="1"/>
  <c r="E45" i="1"/>
  <c r="D37" i="1"/>
  <c r="D61" i="1"/>
  <c r="D38" i="1"/>
  <c r="D39" i="1"/>
  <c r="H37" i="1"/>
  <c r="H45" i="1"/>
  <c r="H61" i="1"/>
  <c r="H101" i="1" s="1"/>
  <c r="H39" i="1"/>
  <c r="H38" i="1"/>
  <c r="K40" i="1"/>
  <c r="K54" i="1" s="1"/>
  <c r="D4" i="1"/>
  <c r="E4" i="1" s="1"/>
  <c r="G5" i="1" s="1"/>
  <c r="J45" i="1"/>
  <c r="J37" i="1"/>
  <c r="J61" i="1"/>
  <c r="J38" i="1"/>
  <c r="J39" i="1"/>
  <c r="I37" i="1"/>
  <c r="I45" i="1"/>
  <c r="I61" i="1"/>
  <c r="I101" i="1" s="1"/>
  <c r="I38" i="1"/>
  <c r="I39" i="1"/>
  <c r="K61" i="1"/>
  <c r="G37" i="1"/>
  <c r="G61" i="1"/>
  <c r="G45" i="1"/>
  <c r="F37" i="1"/>
  <c r="F61" i="1"/>
  <c r="F45" i="1"/>
  <c r="G39" i="1"/>
  <c r="G38" i="1"/>
  <c r="F39" i="1"/>
  <c r="F38" i="1"/>
  <c r="E38" i="1"/>
  <c r="E39" i="1"/>
  <c r="E20" i="1"/>
  <c r="L118" i="1" s="1"/>
  <c r="Y65" i="1" l="1"/>
  <c r="Y80" i="1"/>
  <c r="I102" i="1"/>
  <c r="H102" i="1"/>
  <c r="X65" i="1"/>
  <c r="X80" i="1"/>
  <c r="E25" i="1"/>
  <c r="B141" i="1" s="1"/>
  <c r="F20" i="1"/>
  <c r="K41" i="1"/>
  <c r="K130" i="1"/>
  <c r="H40" i="1"/>
  <c r="H54" i="1" s="1"/>
  <c r="I40" i="1"/>
  <c r="I54" i="1" s="1"/>
  <c r="G40" i="1"/>
  <c r="G54" i="1" s="1"/>
  <c r="B101" i="1"/>
  <c r="B63" i="1"/>
  <c r="B65" i="1"/>
  <c r="B64" i="1"/>
  <c r="H46" i="1"/>
  <c r="H47" i="1"/>
  <c r="H48" i="1"/>
  <c r="G101" i="1"/>
  <c r="G63" i="1"/>
  <c r="G65" i="1"/>
  <c r="G70" i="1"/>
  <c r="G109" i="1" s="1"/>
  <c r="G110" i="1" s="1"/>
  <c r="G111" i="1" s="1"/>
  <c r="W82" i="1" s="1"/>
  <c r="G64" i="1"/>
  <c r="K101" i="1"/>
  <c r="K65" i="1"/>
  <c r="K63" i="1"/>
  <c r="K64" i="1"/>
  <c r="D46" i="1"/>
  <c r="D47" i="1"/>
  <c r="D48" i="1"/>
  <c r="I46" i="1"/>
  <c r="I48" i="1"/>
  <c r="I47" i="1"/>
  <c r="E46" i="1"/>
  <c r="E48" i="1"/>
  <c r="E47" i="1"/>
  <c r="C97" i="1"/>
  <c r="E97" i="1" s="1"/>
  <c r="E101" i="1"/>
  <c r="E63" i="1"/>
  <c r="E65" i="1"/>
  <c r="E70" i="1"/>
  <c r="E109" i="1" s="1"/>
  <c r="E110" i="1" s="1"/>
  <c r="E111" i="1" s="1"/>
  <c r="U82" i="1" s="1"/>
  <c r="E64" i="1"/>
  <c r="J101" i="1"/>
  <c r="J65" i="1"/>
  <c r="J70" i="1"/>
  <c r="J109" i="1" s="1"/>
  <c r="J110" i="1" s="1"/>
  <c r="J63" i="1"/>
  <c r="J64" i="1"/>
  <c r="J40" i="1"/>
  <c r="J54" i="1" s="1"/>
  <c r="D101" i="1"/>
  <c r="D70" i="1"/>
  <c r="D109" i="1" s="1"/>
  <c r="D110" i="1" s="1"/>
  <c r="D65" i="1"/>
  <c r="D63" i="1"/>
  <c r="D64" i="1"/>
  <c r="C101" i="1"/>
  <c r="C63" i="1"/>
  <c r="C65" i="1"/>
  <c r="C64" i="1"/>
  <c r="G46" i="1"/>
  <c r="G48" i="1"/>
  <c r="G47" i="1"/>
  <c r="F46" i="1"/>
  <c r="F47" i="1"/>
  <c r="F48" i="1"/>
  <c r="F101" i="1"/>
  <c r="F63" i="1"/>
  <c r="F65" i="1"/>
  <c r="F70" i="1"/>
  <c r="F109" i="1" s="1"/>
  <c r="F110" i="1" s="1"/>
  <c r="F111" i="1" s="1"/>
  <c r="V82" i="1" s="1"/>
  <c r="F64" i="1"/>
  <c r="I65" i="1"/>
  <c r="I63" i="1"/>
  <c r="I70" i="1"/>
  <c r="I109" i="1" s="1"/>
  <c r="I110" i="1" s="1"/>
  <c r="I64" i="1"/>
  <c r="J47" i="1"/>
  <c r="J46" i="1"/>
  <c r="J48" i="1"/>
  <c r="H65" i="1"/>
  <c r="H70" i="1"/>
  <c r="H109" i="1" s="1"/>
  <c r="H110" i="1" s="1"/>
  <c r="H111" i="1" s="1"/>
  <c r="X82" i="1" s="1"/>
  <c r="H63" i="1"/>
  <c r="H64" i="1"/>
  <c r="D40" i="1"/>
  <c r="D54" i="1" s="1"/>
  <c r="C40" i="1"/>
  <c r="G41" i="1"/>
  <c r="F40" i="1"/>
  <c r="F54" i="1" s="1"/>
  <c r="E40" i="1"/>
  <c r="E54" i="1" s="1"/>
  <c r="C40" i="5" l="1"/>
  <c r="B102" i="1"/>
  <c r="B105" i="1" s="1"/>
  <c r="B122" i="1" s="1"/>
  <c r="R65" i="1"/>
  <c r="R80" i="1"/>
  <c r="Z65" i="1"/>
  <c r="Z80" i="1"/>
  <c r="J102" i="1"/>
  <c r="J105" i="1" s="1"/>
  <c r="J122" i="1" s="1"/>
  <c r="W80" i="1"/>
  <c r="W65" i="1"/>
  <c r="G102" i="1"/>
  <c r="W77" i="1"/>
  <c r="T80" i="1"/>
  <c r="T65" i="1"/>
  <c r="D102" i="1"/>
  <c r="D105" i="1" s="1"/>
  <c r="D122" i="1" s="1"/>
  <c r="AA65" i="1"/>
  <c r="AA80" i="1"/>
  <c r="K102" i="1"/>
  <c r="K105" i="1" s="1"/>
  <c r="K122" i="1" s="1"/>
  <c r="AA77" i="1"/>
  <c r="K147" i="1"/>
  <c r="C130" i="1"/>
  <c r="C54" i="1"/>
  <c r="V80" i="1"/>
  <c r="V65" i="1"/>
  <c r="F102" i="1"/>
  <c r="C102" i="1"/>
  <c r="C105" i="1" s="1"/>
  <c r="C122" i="1" s="1"/>
  <c r="S80" i="1"/>
  <c r="S65" i="1"/>
  <c r="U80" i="1"/>
  <c r="U65" i="1"/>
  <c r="E102" i="1"/>
  <c r="M25" i="1"/>
  <c r="E7" i="1"/>
  <c r="D103" i="1"/>
  <c r="I41" i="1"/>
  <c r="H41" i="1"/>
  <c r="H126" i="1" s="1"/>
  <c r="W62" i="1"/>
  <c r="G42" i="1"/>
  <c r="G126" i="1"/>
  <c r="AA62" i="1"/>
  <c r="D111" i="1"/>
  <c r="T82" i="1" s="1"/>
  <c r="I111" i="1"/>
  <c r="I49" i="1"/>
  <c r="I50" i="1" s="1"/>
  <c r="J111" i="1"/>
  <c r="M40" i="1"/>
  <c r="J66" i="1"/>
  <c r="J85" i="1" s="1"/>
  <c r="B67" i="1"/>
  <c r="G49" i="1"/>
  <c r="G50" i="1" s="1"/>
  <c r="G147" i="1" s="1"/>
  <c r="F66" i="1"/>
  <c r="H66" i="1"/>
  <c r="I71" i="1"/>
  <c r="I73" i="1"/>
  <c r="I72" i="1"/>
  <c r="D71" i="1"/>
  <c r="D72" i="1"/>
  <c r="D73" i="1"/>
  <c r="E49" i="1"/>
  <c r="E50" i="1" s="1"/>
  <c r="J41" i="1"/>
  <c r="G71" i="1"/>
  <c r="G72" i="1"/>
  <c r="G73" i="1"/>
  <c r="E71" i="1"/>
  <c r="E72" i="1"/>
  <c r="E73" i="1"/>
  <c r="D49" i="1"/>
  <c r="D130" i="1" s="1"/>
  <c r="H49" i="1"/>
  <c r="H50" i="1" s="1"/>
  <c r="I105" i="1"/>
  <c r="F49" i="1"/>
  <c r="F50" i="1" s="1"/>
  <c r="C66" i="1"/>
  <c r="E66" i="1"/>
  <c r="D41" i="1"/>
  <c r="T77" i="1" s="1"/>
  <c r="J49" i="1"/>
  <c r="J50" i="1" s="1"/>
  <c r="F71" i="1"/>
  <c r="F72" i="1"/>
  <c r="F73" i="1"/>
  <c r="J71" i="1"/>
  <c r="J72" i="1"/>
  <c r="J73" i="1"/>
  <c r="K66" i="1"/>
  <c r="K131" i="1" s="1"/>
  <c r="K134" i="1" s="1"/>
  <c r="H71" i="1"/>
  <c r="H73" i="1"/>
  <c r="H72" i="1"/>
  <c r="I66" i="1"/>
  <c r="C41" i="1"/>
  <c r="G66" i="1"/>
  <c r="D66" i="1"/>
  <c r="E41" i="1"/>
  <c r="F41" i="1"/>
  <c r="F126" i="1" s="1"/>
  <c r="G97" i="1"/>
  <c r="H103" i="1" s="1"/>
  <c r="D40" i="5" l="1"/>
  <c r="D41" i="5" s="1"/>
  <c r="C41" i="5"/>
  <c r="M7" i="1"/>
  <c r="L116" i="1"/>
  <c r="M102" i="1"/>
  <c r="R66" i="1"/>
  <c r="B148" i="1"/>
  <c r="E126" i="1"/>
  <c r="U77" i="1"/>
  <c r="E147" i="1"/>
  <c r="V77" i="1"/>
  <c r="F147" i="1"/>
  <c r="Z63" i="1"/>
  <c r="Z78" i="1"/>
  <c r="Z62" i="1"/>
  <c r="Z77" i="1"/>
  <c r="J147" i="1"/>
  <c r="S77" i="1"/>
  <c r="C147" i="1"/>
  <c r="U63" i="1"/>
  <c r="U78" i="1"/>
  <c r="Y63" i="1"/>
  <c r="Y78" i="1"/>
  <c r="Y77" i="1"/>
  <c r="I147" i="1"/>
  <c r="V63" i="1"/>
  <c r="V78" i="1"/>
  <c r="W63" i="1"/>
  <c r="W78" i="1"/>
  <c r="B140" i="1"/>
  <c r="H130" i="1"/>
  <c r="X63" i="1"/>
  <c r="X78" i="1"/>
  <c r="X77" i="1"/>
  <c r="H147" i="1"/>
  <c r="I97" i="1"/>
  <c r="K103" i="1" s="1"/>
  <c r="I103" i="1"/>
  <c r="I126" i="1"/>
  <c r="N126" i="1" s="1"/>
  <c r="Y82" i="1"/>
  <c r="J126" i="1"/>
  <c r="Z82" i="1"/>
  <c r="I122" i="1"/>
  <c r="I106" i="1"/>
  <c r="D126" i="1"/>
  <c r="B81" i="1"/>
  <c r="X62" i="1"/>
  <c r="H42" i="1"/>
  <c r="C67" i="1"/>
  <c r="C131" i="1"/>
  <c r="C134" i="1" s="1"/>
  <c r="F67" i="1"/>
  <c r="E130" i="1"/>
  <c r="I130" i="1"/>
  <c r="B85" i="1"/>
  <c r="B131" i="1"/>
  <c r="B134" i="1" s="1"/>
  <c r="U62" i="1"/>
  <c r="E42" i="1"/>
  <c r="J67" i="1"/>
  <c r="Y62" i="1"/>
  <c r="I42" i="1"/>
  <c r="F130" i="1"/>
  <c r="G130" i="1"/>
  <c r="V62" i="1"/>
  <c r="F42" i="1"/>
  <c r="D67" i="1"/>
  <c r="D81" i="1" s="1"/>
  <c r="S62" i="1"/>
  <c r="C42" i="1"/>
  <c r="E67" i="1"/>
  <c r="H67" i="1"/>
  <c r="T62" i="1"/>
  <c r="D42" i="1"/>
  <c r="J130" i="1"/>
  <c r="I132" i="1"/>
  <c r="K106" i="1"/>
  <c r="AA81" i="1" s="1"/>
  <c r="K132" i="1"/>
  <c r="K136" i="1" s="1"/>
  <c r="D106" i="1"/>
  <c r="D107" i="1" s="1"/>
  <c r="D132" i="1"/>
  <c r="D136" i="1" s="1"/>
  <c r="B106" i="1"/>
  <c r="R81" i="1" s="1"/>
  <c r="B132" i="1"/>
  <c r="C106" i="1"/>
  <c r="C132" i="1"/>
  <c r="C136" i="1" s="1"/>
  <c r="J106" i="1"/>
  <c r="J132" i="1"/>
  <c r="M110" i="1"/>
  <c r="F85" i="1"/>
  <c r="M66" i="1"/>
  <c r="M49" i="1"/>
  <c r="M52" i="1" s="1"/>
  <c r="H85" i="1"/>
  <c r="E105" i="1"/>
  <c r="E122" i="1" s="1"/>
  <c r="D74" i="1"/>
  <c r="D131" i="1" s="1"/>
  <c r="D134" i="1" s="1"/>
  <c r="G105" i="1"/>
  <c r="G122" i="1" s="1"/>
  <c r="H105" i="1"/>
  <c r="H122" i="1" s="1"/>
  <c r="I67" i="1"/>
  <c r="I85" i="1"/>
  <c r="E74" i="1"/>
  <c r="E131" i="1" s="1"/>
  <c r="I74" i="1"/>
  <c r="I131" i="1" s="1"/>
  <c r="K67" i="1"/>
  <c r="K85" i="1"/>
  <c r="D85" i="1"/>
  <c r="G74" i="1"/>
  <c r="G131" i="1" s="1"/>
  <c r="D50" i="1"/>
  <c r="T78" i="1" s="1"/>
  <c r="F74" i="1"/>
  <c r="F131" i="1" s="1"/>
  <c r="J74" i="1"/>
  <c r="J75" i="1" s="1"/>
  <c r="Z67" i="1" s="1"/>
  <c r="F105" i="1"/>
  <c r="F122" i="1" s="1"/>
  <c r="G67" i="1"/>
  <c r="G85" i="1"/>
  <c r="H74" i="1"/>
  <c r="H131" i="1" s="1"/>
  <c r="H134" i="1" s="1"/>
  <c r="E85" i="1"/>
  <c r="C85" i="1"/>
  <c r="Y81" i="1" l="1"/>
  <c r="I107" i="1"/>
  <c r="S81" i="1"/>
  <c r="C107" i="1"/>
  <c r="Z81" i="1"/>
  <c r="J107" i="1"/>
  <c r="C43" i="5"/>
  <c r="C149" i="5" s="1"/>
  <c r="G134" i="1"/>
  <c r="W66" i="1"/>
  <c r="AA66" i="1"/>
  <c r="K148" i="1"/>
  <c r="V66" i="1"/>
  <c r="Z66" i="1"/>
  <c r="J148" i="1"/>
  <c r="E134" i="1"/>
  <c r="I136" i="1"/>
  <c r="T66" i="1"/>
  <c r="S66" i="1"/>
  <c r="C148" i="1"/>
  <c r="U66" i="1"/>
  <c r="F134" i="1"/>
  <c r="O126" i="1"/>
  <c r="M126" i="1"/>
  <c r="M130" i="1"/>
  <c r="Y66" i="1"/>
  <c r="E81" i="1"/>
  <c r="F81" i="1"/>
  <c r="X66" i="1"/>
  <c r="D125" i="1"/>
  <c r="D74" i="12" s="1"/>
  <c r="T81" i="1"/>
  <c r="T63" i="1"/>
  <c r="D147" i="1"/>
  <c r="C125" i="1"/>
  <c r="C74" i="12" s="1"/>
  <c r="C149" i="1"/>
  <c r="D149" i="1"/>
  <c r="K125" i="1"/>
  <c r="K74" i="12" s="1"/>
  <c r="K149" i="1"/>
  <c r="J125" i="1"/>
  <c r="J74" i="12" s="1"/>
  <c r="J149" i="1"/>
  <c r="I125" i="1"/>
  <c r="I74" i="12" s="1"/>
  <c r="I149" i="1"/>
  <c r="B125" i="1"/>
  <c r="B74" i="12" s="1"/>
  <c r="B149" i="1"/>
  <c r="H81" i="1"/>
  <c r="I81" i="1"/>
  <c r="G81" i="1"/>
  <c r="K81" i="1"/>
  <c r="I134" i="1"/>
  <c r="J81" i="1"/>
  <c r="C81" i="1"/>
  <c r="J136" i="1"/>
  <c r="J131" i="1"/>
  <c r="J134" i="1" s="1"/>
  <c r="E106" i="1"/>
  <c r="E132" i="1"/>
  <c r="E136" i="1" s="1"/>
  <c r="B136" i="1"/>
  <c r="H106" i="1"/>
  <c r="H132" i="1"/>
  <c r="H136" i="1" s="1"/>
  <c r="F106" i="1"/>
  <c r="F132" i="1"/>
  <c r="F136" i="1" s="1"/>
  <c r="G106" i="1"/>
  <c r="G132" i="1"/>
  <c r="G136" i="1" s="1"/>
  <c r="M112" i="1"/>
  <c r="M113" i="1" s="1"/>
  <c r="B111" i="12" s="1"/>
  <c r="M74" i="1"/>
  <c r="M77" i="1" s="1"/>
  <c r="M78" i="1" s="1"/>
  <c r="D86" i="1"/>
  <c r="D75" i="1"/>
  <c r="T67" i="1" s="1"/>
  <c r="H86" i="1"/>
  <c r="H75" i="1"/>
  <c r="X67" i="1" s="1"/>
  <c r="E86" i="1"/>
  <c r="E75" i="1"/>
  <c r="U67" i="1" s="1"/>
  <c r="F86" i="1"/>
  <c r="F75" i="1"/>
  <c r="V67" i="1" s="1"/>
  <c r="G86" i="1"/>
  <c r="G75" i="1"/>
  <c r="W67" i="1" s="1"/>
  <c r="I86" i="1"/>
  <c r="I75" i="1"/>
  <c r="Y67" i="1" s="1"/>
  <c r="X81" i="1" l="1"/>
  <c r="H107" i="1"/>
  <c r="U81" i="1"/>
  <c r="E107" i="1"/>
  <c r="W81" i="1"/>
  <c r="G107" i="1"/>
  <c r="V81" i="1"/>
  <c r="F107" i="1"/>
  <c r="B142" i="1"/>
  <c r="B143" i="1" s="1"/>
  <c r="D143" i="1" s="1"/>
  <c r="L117" i="1"/>
  <c r="L119" i="1" s="1"/>
  <c r="E148" i="1"/>
  <c r="F148" i="1"/>
  <c r="N125" i="1"/>
  <c r="I148" i="1"/>
  <c r="D148" i="1"/>
  <c r="G148" i="1"/>
  <c r="M134" i="1"/>
  <c r="H148" i="1"/>
  <c r="O147" i="1"/>
  <c r="N147" i="1"/>
  <c r="F125" i="1"/>
  <c r="F74" i="12" s="1"/>
  <c r="F149" i="1"/>
  <c r="H125" i="1"/>
  <c r="H74" i="12" s="1"/>
  <c r="H149" i="1"/>
  <c r="G125" i="1"/>
  <c r="G74" i="12" s="1"/>
  <c r="G149" i="1"/>
  <c r="E125" i="1"/>
  <c r="E74" i="12" s="1"/>
  <c r="E149" i="1"/>
  <c r="E82" i="1"/>
  <c r="I82" i="1"/>
  <c r="G82" i="1"/>
  <c r="D82" i="1"/>
  <c r="H82" i="1"/>
  <c r="F82" i="1"/>
  <c r="M131" i="1"/>
  <c r="M136" i="1"/>
  <c r="M132" i="1"/>
  <c r="M125" i="1" l="1"/>
  <c r="M127" i="1" s="1"/>
  <c r="O125" i="1"/>
  <c r="O127" i="1" s="1"/>
  <c r="N148" i="1"/>
  <c r="O148" i="1"/>
  <c r="N149" i="1"/>
  <c r="B122" i="12" s="1"/>
  <c r="P125" i="1"/>
  <c r="N127" i="1"/>
  <c r="O149" i="1"/>
  <c r="C122" i="12" s="1"/>
  <c r="O7" i="2"/>
  <c r="P7" i="2" s="1"/>
  <c r="T7" i="2" s="1"/>
  <c r="P27" i="2" s="1"/>
  <c r="O6" i="2"/>
  <c r="P6" i="2" s="1"/>
  <c r="O26" i="2"/>
  <c r="B114" i="12"/>
  <c r="C114" i="12"/>
  <c r="D114" i="12"/>
  <c r="D10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A4" authorId="0" shapeId="0" xr:uid="{6277BB30-6875-46AF-843F-D491DC81060A}">
      <text>
        <r>
          <rPr>
            <b/>
            <sz val="9"/>
            <color indexed="81"/>
            <rFont val="Tahoma"/>
            <family val="2"/>
          </rPr>
          <t xml:space="preserve">wim van tilborg
</t>
        </r>
        <r>
          <rPr>
            <sz val="9"/>
            <color indexed="81"/>
            <rFont val="Tahoma"/>
            <family val="2"/>
          </rPr>
          <t>Ingezetenen van Nederland vaaf 21 jaar:
Volgens CBS in 2019:
totaal 17,282,163
Tot 20 jaar: 3791838
21 jr en ouder: 13.490.325n</t>
        </r>
      </text>
    </comment>
    <comment ref="C4" authorId="0" shapeId="0" xr:uid="{1E02D458-72C8-4D61-BA20-A701429C719C}">
      <text>
        <r>
          <rPr>
            <b/>
            <sz val="9"/>
            <color indexed="81"/>
            <rFont val="Tahoma"/>
            <family val="2"/>
          </rPr>
          <t>wim van tilborg:</t>
        </r>
        <r>
          <rPr>
            <sz val="9"/>
            <color indexed="81"/>
            <rFont val="Tahoma"/>
            <family val="2"/>
          </rPr>
          <t xml:space="preserve">
zie www.rijksoverheid.nl</t>
        </r>
      </text>
    </comment>
    <comment ref="D4" authorId="0" shapeId="0" xr:uid="{50626FCB-AB39-441D-A883-31F223AD1642}">
      <text>
        <r>
          <rPr>
            <b/>
            <sz val="9"/>
            <color indexed="81"/>
            <rFont val="Tahoma"/>
            <family val="2"/>
          </rPr>
          <t>wim van tilborg:</t>
        </r>
        <r>
          <rPr>
            <sz val="9"/>
            <color indexed="81"/>
            <rFont val="Tahoma"/>
            <family val="2"/>
          </rPr>
          <t xml:space="preserve">
Gezien de eenvoud van de uitvoering (na aanloopkosten) gesteld op 5% van uitkering</t>
        </r>
      </text>
    </comment>
    <comment ref="C5" authorId="0" shapeId="0" xr:uid="{0C4F5854-52D4-4191-9FB5-9DB4EEB656C1}">
      <text>
        <r>
          <rPr>
            <b/>
            <sz val="9"/>
            <color indexed="81"/>
            <rFont val="Tahoma"/>
            <family val="2"/>
          </rPr>
          <t>wim van tilborg:</t>
        </r>
        <r>
          <rPr>
            <sz val="9"/>
            <color indexed="81"/>
            <rFont val="Tahoma"/>
            <family val="2"/>
          </rPr>
          <t xml:space="preserve">
Gesteld op kinderbijslagbedrag 12-17 jaar</t>
        </r>
      </text>
    </comment>
    <comment ref="A6" authorId="0" shapeId="0" xr:uid="{1988478C-A590-4A48-9EBA-8A09F951D15A}">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
</t>
        </r>
      </text>
    </comment>
    <comment ref="B12" authorId="0" shapeId="0" xr:uid="{ED6B0923-3EC8-4876-9309-6115707592CC}">
      <text>
        <r>
          <rPr>
            <b/>
            <sz val="9"/>
            <color indexed="81"/>
            <rFont val="Tahoma"/>
            <family val="2"/>
          </rPr>
          <t>wim van tilborg:</t>
        </r>
        <r>
          <rPr>
            <sz val="9"/>
            <color indexed="81"/>
            <rFont val="Tahoma"/>
            <family val="2"/>
          </rPr>
          <t xml:space="preserve">
Belastingdienst.nl
</t>
        </r>
      </text>
    </comment>
    <comment ref="D12" authorId="0" shapeId="0" xr:uid="{3CACC349-76DB-4447-86C9-C21C4FA8E10D}">
      <text>
        <r>
          <rPr>
            <b/>
            <sz val="9"/>
            <color indexed="81"/>
            <rFont val="Tahoma"/>
            <family val="2"/>
          </rPr>
          <t>wim van tilborg:</t>
        </r>
        <r>
          <rPr>
            <sz val="9"/>
            <color indexed="81"/>
            <rFont val="Tahoma"/>
            <family val="2"/>
          </rPr>
          <t xml:space="preserve">
Belastingdienst.nl</t>
        </r>
      </text>
    </comment>
    <comment ref="B14" authorId="0" shapeId="0" xr:uid="{06C6812A-605A-4A14-830A-1096490CC72F}">
      <text>
        <r>
          <rPr>
            <b/>
            <sz val="9"/>
            <color indexed="81"/>
            <rFont val="Tahoma"/>
            <family val="2"/>
          </rPr>
          <t>wim van tilborg:</t>
        </r>
        <r>
          <rPr>
            <sz val="9"/>
            <color indexed="81"/>
            <rFont val="Tahoma"/>
            <family val="2"/>
          </rPr>
          <t xml:space="preserve">
Aatal gezinnen dat kinderbijslag ontvangt
</t>
        </r>
      </text>
    </comment>
    <comment ref="D14" authorId="0" shapeId="0" xr:uid="{308AB1BD-7670-4736-AD48-28FBC2A85AB1}">
      <text>
        <r>
          <rPr>
            <b/>
            <sz val="9"/>
            <color indexed="81"/>
            <rFont val="Tahoma"/>
            <charset val="1"/>
          </rPr>
          <t>wim van tilborg:</t>
        </r>
        <r>
          <rPr>
            <sz val="9"/>
            <color indexed="81"/>
            <rFont val="Tahoma"/>
            <charset val="1"/>
          </rPr>
          <t xml:space="preserve">
baasvannederland.nl</t>
        </r>
      </text>
    </comment>
    <comment ref="B17" authorId="0" shapeId="0" xr:uid="{FF360BA2-F47E-4564-BE6D-A137936C605E}">
      <text>
        <r>
          <rPr>
            <b/>
            <sz val="9"/>
            <color indexed="81"/>
            <rFont val="Tahoma"/>
            <charset val="1"/>
          </rPr>
          <t>wim van tilborg:</t>
        </r>
        <r>
          <rPr>
            <sz val="9"/>
            <color indexed="81"/>
            <rFont val="Tahoma"/>
            <charset val="1"/>
          </rPr>
          <t xml:space="preserve">
CBS maart 2020
</t>
        </r>
      </text>
    </comment>
    <comment ref="D17" authorId="0" shapeId="0" xr:uid="{F225EFFA-2A86-44C9-86C7-9A08F47C8486}">
      <text>
        <r>
          <rPr>
            <b/>
            <sz val="9"/>
            <color indexed="81"/>
            <rFont val="Tahoma"/>
            <charset val="1"/>
          </rPr>
          <t>wim van tilborg:</t>
        </r>
        <r>
          <rPr>
            <sz val="9"/>
            <color indexed="81"/>
            <rFont val="Tahoma"/>
            <charset val="1"/>
          </rPr>
          <t xml:space="preserve">
Gemeente.nu
kosten per uitkering inclusief uitvoering</t>
        </r>
      </text>
    </comment>
    <comment ref="E18" authorId="0" shapeId="0" xr:uid="{CA055AF1-668B-4ABE-8693-61D2D82C273F}">
      <text>
        <r>
          <rPr>
            <b/>
            <sz val="9"/>
            <color indexed="81"/>
            <rFont val="Tahoma"/>
            <charset val="1"/>
          </rPr>
          <t>wim van tilborg:</t>
        </r>
        <r>
          <rPr>
            <sz val="9"/>
            <color indexed="81"/>
            <rFont val="Tahoma"/>
            <charset val="1"/>
          </rPr>
          <t xml:space="preserve">
CBS 2012 (meest recent cijfer, maar wel indicatief voor dit doel: grootteorde vaststellen
</t>
        </r>
      </text>
    </comment>
    <comment ref="E19" authorId="0" shapeId="0" xr:uid="{3F9219CC-C457-4C72-845C-80D936408AA5}">
      <text>
        <r>
          <rPr>
            <b/>
            <sz val="9"/>
            <color indexed="81"/>
            <rFont val="Tahoma"/>
            <charset val="1"/>
          </rPr>
          <t>wim van tilborg:</t>
        </r>
        <r>
          <rPr>
            <sz val="9"/>
            <color indexed="81"/>
            <rFont val="Tahoma"/>
            <charset val="1"/>
          </rPr>
          <t xml:space="preserve">
CBS 2012 (meest recent cijfer, maar wel indicatief voor dit doel: grootteorde vaststellen</t>
        </r>
      </text>
    </comment>
    <comment ref="B23" authorId="0" shapeId="0" xr:uid="{D67343E1-8D42-4360-B4E3-7894A8AB3382}">
      <text>
        <r>
          <rPr>
            <b/>
            <sz val="9"/>
            <color indexed="81"/>
            <rFont val="Tahoma"/>
            <family val="2"/>
          </rPr>
          <t>wim van tilborg:</t>
        </r>
        <r>
          <rPr>
            <sz val="9"/>
            <color indexed="81"/>
            <rFont val="Tahoma"/>
            <family val="2"/>
          </rPr>
          <t xml:space="preserve">
Gegevens UWV 2019</t>
        </r>
      </text>
    </comment>
    <comment ref="A33" authorId="0" shapeId="0" xr:uid="{7065CB4C-4414-4A2A-BB2D-882135AAEEE7}">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A35" authorId="0" shapeId="0" xr:uid="{29C8F0F4-2FB3-41D7-A132-F39F4513DA06}">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A38" authorId="0" shapeId="0" xr:uid="{4A1FBA67-9414-40C1-8BEA-8C49374EA491}">
      <text>
        <r>
          <rPr>
            <b/>
            <sz val="9"/>
            <color indexed="81"/>
            <rFont val="Tahoma"/>
            <family val="2"/>
          </rPr>
          <t>wim van tilborg:</t>
        </r>
        <r>
          <rPr>
            <sz val="9"/>
            <color indexed="81"/>
            <rFont val="Tahoma"/>
            <family val="2"/>
          </rPr>
          <t xml:space="preserve">
&lt;20711=2711,
&gt;20711&lt;68507=2711-5,762% Belastbaar inkomen
&gt;68507=0</t>
        </r>
      </text>
    </comment>
    <comment ref="A41" authorId="0" shapeId="0" xr:uid="{26640BD8-302F-43DA-B0AD-DE50B0A366BC}">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44" authorId="0" shapeId="0" xr:uid="{945E6624-96EE-427C-B71B-F0DBA26AA531}">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Omdat pensioen maximaal 70% van laatst verdiend inkomen (of middeninkomen) is, zouden er ook geen AOWers in deciel 10 en 9 vallen. Echter, gepensioneerden hebben vaak ook kapitaal-inkomen dat in het bruto-inkomen is opgenomen (Box 3). Daarom laten we voor gepensioneerden alleen deciel 9 vallen
We verdelen de AOW-trekkenden/gepensioneerden dus over de decielen 3 t/m 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A4" authorId="0" shapeId="0" xr:uid="{8B150338-7E04-4A04-87D0-E3AF78C7A473}">
      <text>
        <r>
          <rPr>
            <b/>
            <sz val="9"/>
            <color indexed="81"/>
            <rFont val="Tahoma"/>
            <family val="2"/>
          </rPr>
          <t xml:space="preserve">wim van tilborg
</t>
        </r>
        <r>
          <rPr>
            <sz val="9"/>
            <color indexed="81"/>
            <rFont val="Tahoma"/>
            <family val="2"/>
          </rPr>
          <t>Ingezetenen van Nederland vaaf 21 jaar:
Volgens CBS in 2019:
totaal 17,282,163
Tot 20 jaar: 3791838
21 jr en ouder: 13.490.325n</t>
        </r>
      </text>
    </comment>
    <comment ref="C4" authorId="0" shapeId="0" xr:uid="{FFC165D5-6857-4548-A1CD-DEDD6780DD93}">
      <text>
        <r>
          <rPr>
            <b/>
            <sz val="9"/>
            <color indexed="81"/>
            <rFont val="Tahoma"/>
            <family val="2"/>
          </rPr>
          <t>wim van tilborg:</t>
        </r>
        <r>
          <rPr>
            <sz val="9"/>
            <color indexed="81"/>
            <rFont val="Tahoma"/>
            <family val="2"/>
          </rPr>
          <t xml:space="preserve">
zie www.rijksoverheid.nl</t>
        </r>
      </text>
    </comment>
    <comment ref="D4" authorId="0" shapeId="0" xr:uid="{A44E3861-86EC-4528-A969-325A048D608C}">
      <text>
        <r>
          <rPr>
            <b/>
            <sz val="9"/>
            <color indexed="81"/>
            <rFont val="Tahoma"/>
            <family val="2"/>
          </rPr>
          <t>wim van tilborg:</t>
        </r>
        <r>
          <rPr>
            <sz val="9"/>
            <color indexed="81"/>
            <rFont val="Tahoma"/>
            <family val="2"/>
          </rPr>
          <t xml:space="preserve">
Gezien de eenvoud van de uitvoering (na aanloopkosten) gesteld op 5% van uitkering</t>
        </r>
      </text>
    </comment>
    <comment ref="C5" authorId="0" shapeId="0" xr:uid="{57CB278F-8173-49D4-A771-C139068B8677}">
      <text>
        <r>
          <rPr>
            <b/>
            <sz val="9"/>
            <color indexed="81"/>
            <rFont val="Tahoma"/>
            <family val="2"/>
          </rPr>
          <t>wim van tilborg:</t>
        </r>
        <r>
          <rPr>
            <sz val="9"/>
            <color indexed="81"/>
            <rFont val="Tahoma"/>
            <family val="2"/>
          </rPr>
          <t xml:space="preserve">
Gesteld op kinderbijslagbedrag 12-17 jaar</t>
        </r>
      </text>
    </comment>
    <comment ref="A6" authorId="0" shapeId="0" xr:uid="{8AAA67D1-FFA8-4BB7-838A-0E66941963FC}">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
</t>
        </r>
      </text>
    </comment>
    <comment ref="B12" authorId="0" shapeId="0" xr:uid="{79C57F6A-D9E6-4016-A26C-5E9154D9B36D}">
      <text>
        <r>
          <rPr>
            <b/>
            <sz val="9"/>
            <color indexed="81"/>
            <rFont val="Tahoma"/>
            <family val="2"/>
          </rPr>
          <t>wim van tilborg:</t>
        </r>
        <r>
          <rPr>
            <sz val="9"/>
            <color indexed="81"/>
            <rFont val="Tahoma"/>
            <family val="2"/>
          </rPr>
          <t xml:space="preserve">
Belastingdienst.nl
</t>
        </r>
      </text>
    </comment>
    <comment ref="D12" authorId="0" shapeId="0" xr:uid="{035373CC-630C-4493-B9AB-8A3E2584582F}">
      <text>
        <r>
          <rPr>
            <b/>
            <sz val="9"/>
            <color indexed="81"/>
            <rFont val="Tahoma"/>
            <family val="2"/>
          </rPr>
          <t>wim van tilborg:</t>
        </r>
        <r>
          <rPr>
            <sz val="9"/>
            <color indexed="81"/>
            <rFont val="Tahoma"/>
            <family val="2"/>
          </rPr>
          <t xml:space="preserve">
Belastingdienst.nl</t>
        </r>
      </text>
    </comment>
    <comment ref="B14" authorId="0" shapeId="0" xr:uid="{257BA7C9-64B2-43E7-BBF2-EE186F645A69}">
      <text>
        <r>
          <rPr>
            <b/>
            <sz val="9"/>
            <color indexed="81"/>
            <rFont val="Tahoma"/>
            <family val="2"/>
          </rPr>
          <t>wim van tilborg:</t>
        </r>
        <r>
          <rPr>
            <sz val="9"/>
            <color indexed="81"/>
            <rFont val="Tahoma"/>
            <family val="2"/>
          </rPr>
          <t xml:space="preserve">
Aatal gezinnen dat kinderbijslag ontvangt
</t>
        </r>
      </text>
    </comment>
    <comment ref="D14" authorId="0" shapeId="0" xr:uid="{79DE03E8-1254-46E3-B3AD-E2BBAA1BAC75}">
      <text>
        <r>
          <rPr>
            <b/>
            <sz val="9"/>
            <color indexed="81"/>
            <rFont val="Tahoma"/>
            <charset val="1"/>
          </rPr>
          <t>wim van tilborg:</t>
        </r>
        <r>
          <rPr>
            <sz val="9"/>
            <color indexed="81"/>
            <rFont val="Tahoma"/>
            <charset val="1"/>
          </rPr>
          <t xml:space="preserve">
baasvannederland.nl</t>
        </r>
      </text>
    </comment>
    <comment ref="B17" authorId="0" shapeId="0" xr:uid="{B6E31AB3-222C-4954-AEC5-C212A40E30DE}">
      <text>
        <r>
          <rPr>
            <b/>
            <sz val="9"/>
            <color indexed="81"/>
            <rFont val="Tahoma"/>
            <charset val="1"/>
          </rPr>
          <t>wim van tilborg:</t>
        </r>
        <r>
          <rPr>
            <sz val="9"/>
            <color indexed="81"/>
            <rFont val="Tahoma"/>
            <charset val="1"/>
          </rPr>
          <t xml:space="preserve">
CBS maart 2020
</t>
        </r>
      </text>
    </comment>
    <comment ref="D17" authorId="0" shapeId="0" xr:uid="{485058F9-92FA-4646-81F0-E63901C30962}">
      <text>
        <r>
          <rPr>
            <b/>
            <sz val="9"/>
            <color indexed="81"/>
            <rFont val="Tahoma"/>
            <charset val="1"/>
          </rPr>
          <t>wim van tilborg:</t>
        </r>
        <r>
          <rPr>
            <sz val="9"/>
            <color indexed="81"/>
            <rFont val="Tahoma"/>
            <charset val="1"/>
          </rPr>
          <t xml:space="preserve">
Gemeente.nu
kosten per uitkering inclusief uitvoering</t>
        </r>
      </text>
    </comment>
    <comment ref="E18" authorId="0" shapeId="0" xr:uid="{DB93BE1B-AEAA-43C6-ADF8-C7628A1F3E8C}">
      <text>
        <r>
          <rPr>
            <b/>
            <sz val="9"/>
            <color indexed="81"/>
            <rFont val="Tahoma"/>
            <charset val="1"/>
          </rPr>
          <t>wim van tilborg:</t>
        </r>
        <r>
          <rPr>
            <sz val="9"/>
            <color indexed="81"/>
            <rFont val="Tahoma"/>
            <charset val="1"/>
          </rPr>
          <t xml:space="preserve">
CBS 2012 (meest recent cijfer, maar wel indicatief voor dit doel: grootteorde vaststellen
</t>
        </r>
      </text>
    </comment>
    <comment ref="E19" authorId="0" shapeId="0" xr:uid="{3AA8B363-C91F-49BB-9671-88B82948D0BD}">
      <text>
        <r>
          <rPr>
            <b/>
            <sz val="9"/>
            <color indexed="81"/>
            <rFont val="Tahoma"/>
            <charset val="1"/>
          </rPr>
          <t>wim van tilborg:</t>
        </r>
        <r>
          <rPr>
            <sz val="9"/>
            <color indexed="81"/>
            <rFont val="Tahoma"/>
            <charset val="1"/>
          </rPr>
          <t xml:space="preserve">
CBS 2012 (meest recent cijfer, maar wel indicatief voor dit doel: grootteorde vaststellen</t>
        </r>
      </text>
    </comment>
    <comment ref="B23" authorId="0" shapeId="0" xr:uid="{7A96CDBB-0597-4147-9EE0-D5F3F0228F42}">
      <text>
        <r>
          <rPr>
            <b/>
            <sz val="9"/>
            <color indexed="81"/>
            <rFont val="Tahoma"/>
            <family val="2"/>
          </rPr>
          <t>wim van tilborg:</t>
        </r>
        <r>
          <rPr>
            <sz val="9"/>
            <color indexed="81"/>
            <rFont val="Tahoma"/>
            <family val="2"/>
          </rPr>
          <t xml:space="preserve">
Gegevens UWV 2019</t>
        </r>
      </text>
    </comment>
    <comment ref="A33" authorId="0" shapeId="0" xr:uid="{06B04F68-7288-4318-929C-0572FF9F653A}">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A35" authorId="0" shapeId="0" xr:uid="{109F6E15-3B15-447A-88A7-5E38189624B2}">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A38" authorId="0" shapeId="0" xr:uid="{5B5D2D63-1495-49BB-B7AE-B4A2CAD1DE3E}">
      <text>
        <r>
          <rPr>
            <b/>
            <sz val="9"/>
            <color indexed="81"/>
            <rFont val="Tahoma"/>
            <family val="2"/>
          </rPr>
          <t>wim van tilborg:</t>
        </r>
        <r>
          <rPr>
            <sz val="9"/>
            <color indexed="81"/>
            <rFont val="Tahoma"/>
            <family val="2"/>
          </rPr>
          <t xml:space="preserve">
&lt;20711=2711,
&gt;20711&lt;68507=2711-5,762% Belastbaar inkomen
&gt;68507=0</t>
        </r>
      </text>
    </comment>
    <comment ref="A41" authorId="0" shapeId="0" xr:uid="{04BA21FE-9904-4814-909B-7BEDFD57954E}">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44" authorId="0" shapeId="0" xr:uid="{E4BDD8B0-383A-4262-A4E9-FC046FE5677C}">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Omdat pensioen maximaal 70% van laatst verdiend inkomen (of middeninkomen) is, zouden er ook geen AOWers in deciel 10 en 9 vallen. Echter, gepensioneerden hebben vaak ook kapitaal-inkomen dat in het bruto-inkomen is opgenomen (Box 3). Daarom laten we voor gepensioneerden alleen deciel 9 vallen
We verdelen de AOW-trekkenden/gepensioneerden dus over de decielen 3 t/m 9.</t>
        </r>
      </text>
    </comment>
    <comment ref="A69" authorId="0" shapeId="0" xr:uid="{B7D1AB26-8F8C-4F9F-8E71-01B761984EC6}">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Aangezien pensioen maximaal 70% van laatst verdiend inkomen (of middeninkomen) is, vallen er ook geen AOWers in deciel 10 en 9.
We verdelen de AOW-trekkenden/gepensioneerden dus over de decielen 3-8.</t>
        </r>
      </text>
    </comment>
    <comment ref="N125" authorId="0" shapeId="0" xr:uid="{015CEC4A-DCBC-4DDA-ACEB-EDF3060A4DAD}">
      <text>
        <r>
          <rPr>
            <b/>
            <sz val="9"/>
            <color indexed="81"/>
            <rFont val="Tahoma"/>
            <charset val="1"/>
          </rPr>
          <t>wim van tilborg:</t>
        </r>
        <r>
          <rPr>
            <sz val="9"/>
            <color indexed="81"/>
            <rFont val="Tahoma"/>
            <charset val="1"/>
          </rPr>
          <t xml:space="preserve">
Inkomen-offer van de 'rijken'dat stroomt naar de lagere inkomens.</t>
        </r>
      </text>
    </comment>
    <comment ref="O125" authorId="0" shapeId="0" xr:uid="{CF84AC70-82FE-4556-A5B3-DE4F3CDBBDBE}">
      <text>
        <r>
          <rPr>
            <b/>
            <sz val="9"/>
            <color indexed="81"/>
            <rFont val="Tahoma"/>
            <family val="2"/>
          </rPr>
          <t>wim van tilborg:</t>
        </r>
        <r>
          <rPr>
            <sz val="9"/>
            <color indexed="81"/>
            <rFont val="Tahoma"/>
            <family val="2"/>
          </rPr>
          <t xml:space="preserve">
De totale inkomens-stijging tot en met het modale inkomen van de werkenden
</t>
        </r>
      </text>
    </comment>
    <comment ref="N126" authorId="0" shapeId="0" xr:uid="{363F5832-E3FD-4B00-96A6-4DF5C0BA7C0C}">
      <text>
        <r>
          <rPr>
            <b/>
            <sz val="9"/>
            <color indexed="81"/>
            <rFont val="Tahoma"/>
            <family val="2"/>
          </rPr>
          <t>wim van tilborg:</t>
        </r>
        <r>
          <rPr>
            <sz val="9"/>
            <color indexed="81"/>
            <rFont val="Tahoma"/>
            <family val="2"/>
          </rPr>
          <t xml:space="preserve">
</t>
        </r>
      </text>
    </comment>
    <comment ref="O126" authorId="0" shapeId="0" xr:uid="{C1F36F42-F29F-489F-9F11-71F601B7362B}">
      <text>
        <r>
          <rPr>
            <b/>
            <sz val="9"/>
            <color indexed="81"/>
            <rFont val="Tahoma"/>
            <family val="2"/>
          </rPr>
          <t>wim van tilborg:</t>
        </r>
        <r>
          <rPr>
            <sz val="9"/>
            <color indexed="81"/>
            <rFont val="Tahoma"/>
            <family val="2"/>
          </rPr>
          <t xml:space="preserve">
De totale inkomens-stijging tot en met het modale inkomen van de gepensioneerden</t>
        </r>
      </text>
    </comment>
    <comment ref="O127" authorId="0" shapeId="0" xr:uid="{269EAC0E-F6C7-4CA0-9D10-D08381411C79}">
      <text>
        <r>
          <rPr>
            <b/>
            <sz val="9"/>
            <color indexed="81"/>
            <rFont val="Tahoma"/>
            <family val="2"/>
          </rPr>
          <t>wim van tilborg:</t>
        </r>
        <r>
          <rPr>
            <sz val="9"/>
            <color indexed="81"/>
            <rFont val="Tahoma"/>
            <family val="2"/>
          </rPr>
          <t xml:space="preserve">
De totale inkomens-stijging tot en met het modale inkomen van werkenden + gepensioneerden</t>
        </r>
      </text>
    </comment>
    <comment ref="A134" authorId="0" shapeId="0" xr:uid="{2AB7CBB1-BACB-44EA-AE13-A8CC40CB0778}">
      <text>
        <r>
          <rPr>
            <b/>
            <sz val="9"/>
            <color indexed="81"/>
            <rFont val="Tahoma"/>
            <family val="2"/>
          </rPr>
          <t>wim van tilborg:</t>
        </r>
        <r>
          <rPr>
            <sz val="9"/>
            <color indexed="81"/>
            <rFont val="Tahoma"/>
            <family val="2"/>
          </rPr>
          <t xml:space="preserve">
IB volge
ns huidg tarief over inkomen+basisinkomen minus de thans geincasseerde IB</t>
        </r>
      </text>
    </comment>
    <comment ref="A136" authorId="0" shapeId="0" xr:uid="{DCE48198-A45B-41F0-BF1D-34ED40EFAF16}">
      <text>
        <r>
          <rPr>
            <b/>
            <sz val="9"/>
            <color indexed="81"/>
            <rFont val="Tahoma"/>
            <family val="2"/>
          </rPr>
          <t>wim van tilborg:</t>
        </r>
        <r>
          <rPr>
            <sz val="9"/>
            <color indexed="81"/>
            <rFont val="Tahoma"/>
            <family val="2"/>
          </rPr>
          <t xml:space="preserve">
IB volgens de nieuwe tarieven geheven over inkomen + basisinkomen minus de thans geincasseerde IB</t>
        </r>
      </text>
    </comment>
    <comment ref="A141" authorId="0" shapeId="0" xr:uid="{3AB4DEF2-8940-46DD-BA21-B0F859C080DE}">
      <text>
        <r>
          <rPr>
            <b/>
            <sz val="9"/>
            <color indexed="81"/>
            <rFont val="Tahoma"/>
            <family val="2"/>
          </rPr>
          <t>wim van tilborg:</t>
        </r>
        <r>
          <rPr>
            <sz val="9"/>
            <color indexed="81"/>
            <rFont val="Tahoma"/>
            <family val="2"/>
          </rPr>
          <t xml:space="preserve">
Inclusief besparing op WW
</t>
        </r>
      </text>
    </comment>
    <comment ref="F156" authorId="0" shapeId="0" xr:uid="{0A6D393B-0900-4A88-802B-B7A422864DD2}">
      <text>
        <r>
          <rPr>
            <b/>
            <sz val="9"/>
            <color indexed="81"/>
            <rFont val="Tahoma"/>
            <family val="2"/>
          </rPr>
          <t>wim van tilborg:</t>
        </r>
        <r>
          <rPr>
            <sz val="9"/>
            <color indexed="81"/>
            <rFont val="Tahoma"/>
            <family val="2"/>
          </rPr>
          <t xml:space="preserve">
Iemand die een arbeidsinkomen van nul heeft krijgt toch bijstandsuitkering ad € 12600 en is daarover belastingplichtig</t>
        </r>
      </text>
    </comment>
    <comment ref="F157" authorId="0" shapeId="0" xr:uid="{EAA5A4ED-57EF-414C-8A54-D2C0EE21F5F2}">
      <text>
        <r>
          <rPr>
            <b/>
            <sz val="9"/>
            <color indexed="81"/>
            <rFont val="Tahoma"/>
            <family val="2"/>
          </rPr>
          <t>wim van tilborg:</t>
        </r>
        <r>
          <rPr>
            <sz val="9"/>
            <color indexed="81"/>
            <rFont val="Tahoma"/>
            <family val="2"/>
          </rPr>
          <t xml:space="preserve">
Iemand die een arbeidsinkomen van € 7400 heeft krijgt aanvulling vanuit bijstand tot minstens 12600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C2" authorId="0" shapeId="0" xr:uid="{D8C8A9B0-4A7F-4C95-898F-AD345AC30786}">
      <text>
        <r>
          <rPr>
            <b/>
            <sz val="9"/>
            <color indexed="81"/>
            <rFont val="Tahoma"/>
            <family val="2"/>
          </rPr>
          <t>wim van tilborg:</t>
        </r>
        <r>
          <rPr>
            <sz val="9"/>
            <color indexed="81"/>
            <rFont val="Tahoma"/>
            <family val="2"/>
          </rPr>
          <t xml:space="preserve">
Kostwinners hebben minstens de bijstandsuitkering als inkomen. In deciel 1+2 zitten dus veel bijverdieners en deeltijdwerkers met kleine banen. Bijverdieners zijn veelal jongeren &lt; 21 jaar. Zij komen niet in aanmerking voor de hoge BI (12600) maar wel voor 1500/jaar. Voor deze schattende berekeningen nemen we aan dat het laagste deciel geheel jongeren zijn, en het tweede deciel voor 1/4de. 
De grens waarop de hoge BI dan begint ligt (ongeveer) bij 
((2400+9500)/2+11900)/2=</t>
        </r>
      </text>
    </comment>
    <comment ref="A9" authorId="0" shapeId="0" xr:uid="{33BB4B52-C88D-4F5E-A615-D7A73EF67A77}">
      <text>
        <r>
          <rPr>
            <b/>
            <sz val="9"/>
            <color indexed="81"/>
            <rFont val="Tahoma"/>
            <family val="2"/>
          </rPr>
          <t xml:space="preserve">wim van tilborg
</t>
        </r>
        <r>
          <rPr>
            <sz val="9"/>
            <color indexed="81"/>
            <rFont val="Tahoma"/>
            <family val="2"/>
          </rPr>
          <t>Ingezetenen van Nederland vaaf 21 jaar:
Volgens CBS in 2019:
totaal 17,282,163
Tot 20 jaar: 3791838
21 jr en ouder: 13.490.325n</t>
        </r>
      </text>
    </comment>
    <comment ref="C9" authorId="0" shapeId="0" xr:uid="{9B1FB289-A928-4E59-B9FA-8C45FFE722C7}">
      <text>
        <r>
          <rPr>
            <b/>
            <sz val="9"/>
            <color indexed="81"/>
            <rFont val="Tahoma"/>
            <family val="2"/>
          </rPr>
          <t>wim van tilborg:</t>
        </r>
        <r>
          <rPr>
            <sz val="9"/>
            <color indexed="81"/>
            <rFont val="Tahoma"/>
            <family val="2"/>
          </rPr>
          <t xml:space="preserve">
zie www.rijksoverheid.nl</t>
        </r>
      </text>
    </comment>
    <comment ref="D9" authorId="0" shapeId="0" xr:uid="{A7ED2898-1C87-4B6F-9BC4-279FAD4F2E53}">
      <text>
        <r>
          <rPr>
            <b/>
            <sz val="9"/>
            <color indexed="81"/>
            <rFont val="Tahoma"/>
            <family val="2"/>
          </rPr>
          <t>wim van tilborg:</t>
        </r>
        <r>
          <rPr>
            <sz val="9"/>
            <color indexed="81"/>
            <rFont val="Tahoma"/>
            <family val="2"/>
          </rPr>
          <t xml:space="preserve">
Gezien de eenvoud van de uitvoering (na aanloopkosten) gesteld op 5% van uitkering</t>
        </r>
      </text>
    </comment>
    <comment ref="C10" authorId="0" shapeId="0" xr:uid="{C8DE66D8-1909-4A1F-9439-EFCEC7806AD1}">
      <text>
        <r>
          <rPr>
            <b/>
            <sz val="9"/>
            <color indexed="81"/>
            <rFont val="Tahoma"/>
            <family val="2"/>
          </rPr>
          <t>wim van tilborg:</t>
        </r>
        <r>
          <rPr>
            <sz val="9"/>
            <color indexed="81"/>
            <rFont val="Tahoma"/>
            <family val="2"/>
          </rPr>
          <t xml:space="preserve">
Gesteld op kinderbijslagbedrag 12-17 jaar</t>
        </r>
      </text>
    </comment>
    <comment ref="A11" authorId="0" shapeId="0" xr:uid="{A0698932-2708-4800-AF1A-84D38716A88C}">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
</t>
        </r>
      </text>
    </comment>
    <comment ref="B17" authorId="0" shapeId="0" xr:uid="{6B4E0D5B-A846-48A2-9802-3E12DF8F986E}">
      <text>
        <r>
          <rPr>
            <b/>
            <sz val="9"/>
            <color indexed="81"/>
            <rFont val="Tahoma"/>
            <family val="2"/>
          </rPr>
          <t>wim van tilborg:</t>
        </r>
        <r>
          <rPr>
            <sz val="9"/>
            <color indexed="81"/>
            <rFont val="Tahoma"/>
            <family val="2"/>
          </rPr>
          <t xml:space="preserve">
Belastingdienst.nl
</t>
        </r>
      </text>
    </comment>
    <comment ref="D17" authorId="0" shapeId="0" xr:uid="{28E26BDD-CCB7-4964-ADD5-6C62787723C5}">
      <text>
        <r>
          <rPr>
            <b/>
            <sz val="9"/>
            <color indexed="81"/>
            <rFont val="Tahoma"/>
            <family val="2"/>
          </rPr>
          <t>wim van tilborg:</t>
        </r>
        <r>
          <rPr>
            <sz val="9"/>
            <color indexed="81"/>
            <rFont val="Tahoma"/>
            <family val="2"/>
          </rPr>
          <t xml:space="preserve">
Belastingdienst.nl</t>
        </r>
      </text>
    </comment>
    <comment ref="B19" authorId="0" shapeId="0" xr:uid="{E2BB2810-8689-48A9-B92D-ED6F18D23544}">
      <text>
        <r>
          <rPr>
            <b/>
            <sz val="9"/>
            <color indexed="81"/>
            <rFont val="Tahoma"/>
            <family val="2"/>
          </rPr>
          <t>wim van tilborg:</t>
        </r>
        <r>
          <rPr>
            <sz val="9"/>
            <color indexed="81"/>
            <rFont val="Tahoma"/>
            <family val="2"/>
          </rPr>
          <t xml:space="preserve">
Aatal gezinnen dat kinderbijslag ontvangt
</t>
        </r>
      </text>
    </comment>
    <comment ref="D19" authorId="0" shapeId="0" xr:uid="{D424E29D-78C2-41C5-BFDD-5891C9B02DE9}">
      <text>
        <r>
          <rPr>
            <b/>
            <sz val="9"/>
            <color indexed="81"/>
            <rFont val="Tahoma"/>
            <charset val="1"/>
          </rPr>
          <t>wim van tilborg:</t>
        </r>
        <r>
          <rPr>
            <sz val="9"/>
            <color indexed="81"/>
            <rFont val="Tahoma"/>
            <charset val="1"/>
          </rPr>
          <t xml:space="preserve">
baasvannederland.nl</t>
        </r>
      </text>
    </comment>
    <comment ref="B22" authorId="0" shapeId="0" xr:uid="{917BA196-3010-4B80-B453-5D2AFD292117}">
      <text>
        <r>
          <rPr>
            <b/>
            <sz val="9"/>
            <color indexed="81"/>
            <rFont val="Tahoma"/>
            <charset val="1"/>
          </rPr>
          <t>wim van tilborg:</t>
        </r>
        <r>
          <rPr>
            <sz val="9"/>
            <color indexed="81"/>
            <rFont val="Tahoma"/>
            <charset val="1"/>
          </rPr>
          <t xml:space="preserve">
CBS maart 2020
Dit is slechts
(4E5/B35)*100 = 3% van het aantal inkomens </t>
        </r>
      </text>
    </comment>
    <comment ref="D22" authorId="0" shapeId="0" xr:uid="{74C99ADE-2DBE-4650-9BBE-F5131650FEB3}">
      <text>
        <r>
          <rPr>
            <b/>
            <sz val="9"/>
            <color indexed="81"/>
            <rFont val="Tahoma"/>
            <charset val="1"/>
          </rPr>
          <t>wim van tilborg:</t>
        </r>
        <r>
          <rPr>
            <sz val="9"/>
            <color indexed="81"/>
            <rFont val="Tahoma"/>
            <charset val="1"/>
          </rPr>
          <t xml:space="preserve">
Gemeente.nu
kosten per uitkering inclusief uitvoering</t>
        </r>
      </text>
    </comment>
    <comment ref="E23" authorId="0" shapeId="0" xr:uid="{0AEFC2B0-9CCE-4862-9715-2E1DAD80B0E1}">
      <text>
        <r>
          <rPr>
            <b/>
            <sz val="9"/>
            <color indexed="81"/>
            <rFont val="Tahoma"/>
            <charset val="1"/>
          </rPr>
          <t>wim van tilborg:</t>
        </r>
        <r>
          <rPr>
            <sz val="9"/>
            <color indexed="81"/>
            <rFont val="Tahoma"/>
            <charset val="1"/>
          </rPr>
          <t xml:space="preserve">
CBS 2012 (meest recent cijfer, maar wel indicatief voor dit doel: grootteorde vaststellen
</t>
        </r>
      </text>
    </comment>
    <comment ref="E24" authorId="0" shapeId="0" xr:uid="{4C471A56-B203-47FA-8E14-BD9DC34A9287}">
      <text>
        <r>
          <rPr>
            <b/>
            <sz val="9"/>
            <color indexed="81"/>
            <rFont val="Tahoma"/>
            <charset val="1"/>
          </rPr>
          <t>wim van tilborg:</t>
        </r>
        <r>
          <rPr>
            <sz val="9"/>
            <color indexed="81"/>
            <rFont val="Tahoma"/>
            <charset val="1"/>
          </rPr>
          <t xml:space="preserve">
CBS 2012 (meest recent cijfer, maar wel indicatief voor dit doel: grootteorde vaststellen</t>
        </r>
      </text>
    </comment>
    <comment ref="B28" authorId="0" shapeId="0" xr:uid="{A1BC75CE-6DBD-43BB-B383-1E832F70DBC0}">
      <text>
        <r>
          <rPr>
            <b/>
            <sz val="9"/>
            <color indexed="81"/>
            <rFont val="Tahoma"/>
            <family val="2"/>
          </rPr>
          <t>wim van tilborg:</t>
        </r>
        <r>
          <rPr>
            <sz val="9"/>
            <color indexed="81"/>
            <rFont val="Tahoma"/>
            <family val="2"/>
          </rPr>
          <t xml:space="preserve">
Gegevens UWV 2019</t>
        </r>
      </text>
    </comment>
    <comment ref="M34" authorId="0" shapeId="0" xr:uid="{36F0F7B5-B123-4829-8F72-A820739D27AA}">
      <text>
        <r>
          <rPr>
            <b/>
            <sz val="9"/>
            <color indexed="81"/>
            <rFont val="Tahoma"/>
            <family val="2"/>
          </rPr>
          <t>wim van tilborg:</t>
        </r>
        <r>
          <rPr>
            <sz val="9"/>
            <color indexed="81"/>
            <rFont val="Tahoma"/>
            <family val="2"/>
          </rPr>
          <t xml:space="preserve">
Totaal besparingen, zonder WW!!!
</t>
        </r>
      </text>
    </comment>
    <comment ref="B41" authorId="0" shapeId="0" xr:uid="{19687CD7-EA16-40BD-89DB-90EE44695A26}">
      <text>
        <r>
          <rPr>
            <b/>
            <sz val="9"/>
            <color indexed="81"/>
            <rFont val="Tahoma"/>
            <family val="2"/>
          </rPr>
          <t>wim van tilborg:</t>
        </r>
        <r>
          <rPr>
            <sz val="9"/>
            <color indexed="81"/>
            <rFont val="Tahoma"/>
            <family val="2"/>
          </rPr>
          <t xml:space="preserve">
Dit deciel wordt vrijwel geheel gevuld met deeltijdinkomens van jongeren. We rekenen daarom met hun uitkering van € 1500/jaar</t>
        </r>
      </text>
    </comment>
    <comment ref="C41" authorId="0" shapeId="0" xr:uid="{C90D005C-123D-482B-80F2-E61BE09A09FC}">
      <text>
        <r>
          <rPr>
            <b/>
            <sz val="9"/>
            <color indexed="81"/>
            <rFont val="Tahoma"/>
            <charset val="1"/>
          </rPr>
          <t>wim van tilborg:</t>
        </r>
        <r>
          <rPr>
            <sz val="9"/>
            <color indexed="81"/>
            <rFont val="Tahoma"/>
            <charset val="1"/>
          </rPr>
          <t xml:space="preserve">
In dit deciel zitten hoofdzakelijk tweedebaners van huishoudens (gesteld op 75%) die ca 12600 ontvangen, de andere 25% bestaat uit minder-jarigen die € 1500 ontvangen.</t>
        </r>
      </text>
    </comment>
    <comment ref="D41" authorId="0" shapeId="0" xr:uid="{EC43C6AA-D128-4393-8266-898F94A8101F}">
      <text>
        <r>
          <rPr>
            <b/>
            <sz val="9"/>
            <color indexed="81"/>
            <rFont val="Tahoma"/>
            <family val="2"/>
          </rPr>
          <t>wim van tilborg:</t>
        </r>
        <r>
          <rPr>
            <sz val="9"/>
            <color indexed="81"/>
            <rFont val="Tahoma"/>
            <family val="2"/>
          </rPr>
          <t xml:space="preserve">
Hier zit een fout doordat de bijstandsuitkering wordt afgeschaft. Onmgeveer 30% van dit deciel ontving bijstand. Zij verliezen dus hun oude uitkering die vervangen wordt door het BI, maar via een speciaal compensatiefonds wordt dit aangevuld. De fout in de eindberekeningen van 30% van een deciel is 3% en dus beperkt.
</t>
        </r>
      </text>
    </comment>
    <comment ref="A42" authorId="0" shapeId="0" xr:uid="{8C532AC1-A85C-4FEF-9832-A9891C4BDB85}">
      <text>
        <r>
          <rPr>
            <b/>
            <sz val="9"/>
            <color indexed="81"/>
            <rFont val="Tahoma"/>
            <family val="2"/>
          </rPr>
          <t>wim van tilborg:</t>
        </r>
        <r>
          <rPr>
            <sz val="9"/>
            <color indexed="81"/>
            <rFont val="Tahoma"/>
            <family val="2"/>
          </rPr>
          <t xml:space="preserve">
Dyn BI van alle inkomens, jongeren &lt;21 jaar (ca 1 miljoen)
 niet meegerekend.</t>
        </r>
      </text>
    </comment>
    <comment ref="A44" authorId="0" shapeId="0" xr:uid="{1E1BBEB2-B322-48F4-B1B9-BEAB346165B6}">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t>
        </r>
      </text>
    </comment>
    <comment ref="A48" authorId="0" shapeId="0" xr:uid="{73FB0AE4-A867-464C-A5E7-EB829C44E5B7}">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A50" authorId="0" shapeId="0" xr:uid="{82B37DC9-2A93-41EB-B8ED-16F7AF51CFAD}">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A53" authorId="0" shapeId="0" xr:uid="{B2215B98-DCD5-450F-BDE9-7B4640686D26}">
      <text>
        <r>
          <rPr>
            <b/>
            <sz val="9"/>
            <color indexed="81"/>
            <rFont val="Tahoma"/>
            <family val="2"/>
          </rPr>
          <t>wim van tilborg:</t>
        </r>
        <r>
          <rPr>
            <sz val="9"/>
            <color indexed="81"/>
            <rFont val="Tahoma"/>
            <family val="2"/>
          </rPr>
          <t xml:space="preserve">
&lt;20711=2711,
&gt;20711&lt;68507=2711-5,762% Belastbaar inkomen
&gt;68507=0</t>
        </r>
      </text>
    </comment>
    <comment ref="A56" authorId="0" shapeId="0" xr:uid="{1ADC2D8E-9E30-4648-A92A-F68A7431D865}">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59" authorId="0" shapeId="0" xr:uid="{D3F81E9C-91C7-4DDA-81C2-394B89A3AB50}">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Omdat pensioen maximaal 70% van laatst verdiend inkomen (of middeninkomen) is, zouden er ook geen AOWers in deciel 10 en 9 vallen. Echter, gepensioneerden hebben vaak ook kapitaal-inkomen dat in het bruto-inkomen is opgenomen (Box 3). Daarom laten we voor gepensioneerden alleen deciel 9 vallen
We verdelen de AOW-trekkenden/gepensioneerden dus over de decielen 3 t/m 9.</t>
        </r>
      </text>
    </comment>
    <comment ref="A84" authorId="0" shapeId="0" xr:uid="{576B9BC6-726A-48F6-8783-722A997FEC26}">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Aangezien pensioen maximaal 70% van laatst verdiend inkomen (of middeninkomen) is, vallen er ook geen AOWers in deciel 10 en 9.
We verdelen de AOW-trekkenden/gepensioneerden dus over de decielen 3-8.</t>
        </r>
      </text>
    </comment>
    <comment ref="A135" authorId="0" shapeId="0" xr:uid="{8BA1C23B-FA39-4FF5-9E71-DE9162D7B6C5}">
      <text>
        <r>
          <rPr>
            <b/>
            <sz val="9"/>
            <color indexed="81"/>
            <rFont val="Tahoma"/>
            <charset val="1"/>
          </rPr>
          <t>wim van tilborg:</t>
        </r>
        <r>
          <rPr>
            <sz val="9"/>
            <color indexed="81"/>
            <rFont val="Tahoma"/>
            <charset val="1"/>
          </rPr>
          <t xml:space="preserve">
Van de besparingen, waarin de WW niet werd meegenomen, is een bedrag van 10 miljard afgetrokken om gratis kinderopvang te bekostigen
</t>
        </r>
      </text>
    </comment>
    <comment ref="N142" authorId="0" shapeId="0" xr:uid="{BD7C8238-DAD9-40BB-AFA0-1E8DA3A472AD}">
      <text>
        <r>
          <rPr>
            <b/>
            <sz val="9"/>
            <color indexed="81"/>
            <rFont val="Tahoma"/>
            <charset val="1"/>
          </rPr>
          <t>wim van tilborg:</t>
        </r>
        <r>
          <rPr>
            <sz val="9"/>
            <color indexed="81"/>
            <rFont val="Tahoma"/>
            <charset val="1"/>
          </rPr>
          <t xml:space="preserve">
Inkomen-offer van de 'rijken'dat stroomt naar de lagere inkomens.</t>
        </r>
      </text>
    </comment>
    <comment ref="O142" authorId="0" shapeId="0" xr:uid="{EC2593F7-5915-40E1-9C38-FC01C5035CDA}">
      <text>
        <r>
          <rPr>
            <b/>
            <sz val="9"/>
            <color indexed="81"/>
            <rFont val="Tahoma"/>
            <family val="2"/>
          </rPr>
          <t>wim van tilborg:</t>
        </r>
        <r>
          <rPr>
            <sz val="9"/>
            <color indexed="81"/>
            <rFont val="Tahoma"/>
            <family val="2"/>
          </rPr>
          <t xml:space="preserve">
De totale inkomens-stijging tot en met het modale inkomen van de werkenden
</t>
        </r>
      </text>
    </comment>
    <comment ref="N143" authorId="0" shapeId="0" xr:uid="{61068949-D98D-4340-BAF2-EB400A7CB718}">
      <text>
        <r>
          <rPr>
            <b/>
            <sz val="9"/>
            <color indexed="81"/>
            <rFont val="Tahoma"/>
            <family val="2"/>
          </rPr>
          <t>wim van tilborg:</t>
        </r>
        <r>
          <rPr>
            <sz val="9"/>
            <color indexed="81"/>
            <rFont val="Tahoma"/>
            <family val="2"/>
          </rPr>
          <t xml:space="preserve">
</t>
        </r>
      </text>
    </comment>
    <comment ref="O143" authorId="0" shapeId="0" xr:uid="{EE79ED21-6854-4F48-8B49-1D372D295754}">
      <text>
        <r>
          <rPr>
            <b/>
            <sz val="9"/>
            <color indexed="81"/>
            <rFont val="Tahoma"/>
            <family val="2"/>
          </rPr>
          <t>wim van tilborg:</t>
        </r>
        <r>
          <rPr>
            <sz val="9"/>
            <color indexed="81"/>
            <rFont val="Tahoma"/>
            <family val="2"/>
          </rPr>
          <t xml:space="preserve">
De totale inkomens-stijging tot en met het modale inkomen van de gepensioneerden</t>
        </r>
      </text>
    </comment>
    <comment ref="O144" authorId="0" shapeId="0" xr:uid="{E5DCE87E-F6D4-4344-8A0F-A089C8919BAF}">
      <text>
        <r>
          <rPr>
            <b/>
            <sz val="9"/>
            <color indexed="81"/>
            <rFont val="Tahoma"/>
            <family val="2"/>
          </rPr>
          <t>wim van tilborg:</t>
        </r>
        <r>
          <rPr>
            <sz val="9"/>
            <color indexed="81"/>
            <rFont val="Tahoma"/>
            <family val="2"/>
          </rPr>
          <t xml:space="preserve">
De totale inkomens-stijging tot en met het modale inkomen van werkenden + gepensioneerden</t>
        </r>
      </text>
    </comment>
    <comment ref="A151" authorId="0" shapeId="0" xr:uid="{FAEB8F2E-BD35-476E-8C61-29C8B6331B86}">
      <text>
        <r>
          <rPr>
            <b/>
            <sz val="9"/>
            <color indexed="81"/>
            <rFont val="Tahoma"/>
            <family val="2"/>
          </rPr>
          <t>wim van tilborg:</t>
        </r>
        <r>
          <rPr>
            <sz val="9"/>
            <color indexed="81"/>
            <rFont val="Tahoma"/>
            <family val="2"/>
          </rPr>
          <t xml:space="preserve">
IB volge
ns huidg tarief over inkomen+basisinkomen minus de thans geincasseerde IB</t>
        </r>
      </text>
    </comment>
    <comment ref="A153" authorId="0" shapeId="0" xr:uid="{85F8AFB1-0BF4-4CBD-8786-DBF2A916635A}">
      <text>
        <r>
          <rPr>
            <b/>
            <sz val="9"/>
            <color indexed="81"/>
            <rFont val="Tahoma"/>
            <family val="2"/>
          </rPr>
          <t>wim van tilborg:</t>
        </r>
        <r>
          <rPr>
            <sz val="9"/>
            <color indexed="81"/>
            <rFont val="Tahoma"/>
            <family val="2"/>
          </rPr>
          <t xml:space="preserve">
IB volgens de nieuwe tarieven geheven over inkomen + basisinkomen minus de thans geincasseerde IB</t>
        </r>
      </text>
    </comment>
    <comment ref="F172" authorId="0" shapeId="0" xr:uid="{8A69BFB9-B2DD-4A7C-BB59-040924002D23}">
      <text>
        <r>
          <rPr>
            <b/>
            <sz val="9"/>
            <color indexed="81"/>
            <rFont val="Tahoma"/>
            <family val="2"/>
          </rPr>
          <t>wim van tilborg:</t>
        </r>
        <r>
          <rPr>
            <sz val="9"/>
            <color indexed="81"/>
            <rFont val="Tahoma"/>
            <family val="2"/>
          </rPr>
          <t xml:space="preserve">
Iemand die een arbeidsinkomen van nul heeft krijgt toch bijstandsuitkering ad € 12600 en is daarover belastingplichtig</t>
        </r>
      </text>
    </comment>
    <comment ref="F173" authorId="0" shapeId="0" xr:uid="{D264033E-2111-4F26-95C1-4197337F903A}">
      <text>
        <r>
          <rPr>
            <b/>
            <sz val="9"/>
            <color indexed="81"/>
            <rFont val="Tahoma"/>
            <family val="2"/>
          </rPr>
          <t>wim van tilborg:</t>
        </r>
        <r>
          <rPr>
            <sz val="9"/>
            <color indexed="81"/>
            <rFont val="Tahoma"/>
            <family val="2"/>
          </rPr>
          <t xml:space="preserve">
Iemand die een arbeidsinkomen van € 7400 heeft krijgt aanvulling vanuit bijstand tot minstens 12600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A9" authorId="0" shapeId="0" xr:uid="{9E0C4A70-4D3D-46AE-980C-1654A425F4F3}">
      <text>
        <r>
          <rPr>
            <b/>
            <sz val="9"/>
            <color indexed="81"/>
            <rFont val="Tahoma"/>
            <family val="2"/>
          </rPr>
          <t xml:space="preserve">wim van tilborg
</t>
        </r>
        <r>
          <rPr>
            <sz val="9"/>
            <color indexed="81"/>
            <rFont val="Tahoma"/>
            <family val="2"/>
          </rPr>
          <t>Ingezetenen van Nederland vaaf 21 jaar:
Volgens CBS in 2019:
totaal 17,282,163
Tot 20 jaar: 3791838
21 jr en ouder: 13.490.325n</t>
        </r>
      </text>
    </comment>
    <comment ref="C9" authorId="0" shapeId="0" xr:uid="{E5657249-A099-4ABB-B2F6-5913554CBF10}">
      <text>
        <r>
          <rPr>
            <b/>
            <sz val="9"/>
            <color indexed="81"/>
            <rFont val="Tahoma"/>
            <family val="2"/>
          </rPr>
          <t>wim van tilborg:</t>
        </r>
        <r>
          <rPr>
            <sz val="9"/>
            <color indexed="81"/>
            <rFont val="Tahoma"/>
            <family val="2"/>
          </rPr>
          <t xml:space="preserve">
= bijstandsuitkering
zie www.rijksoverheid.nl</t>
        </r>
      </text>
    </comment>
    <comment ref="D9" authorId="0" shapeId="0" xr:uid="{8176269D-8811-4777-8ACF-0CE7D2F61D18}">
      <text>
        <r>
          <rPr>
            <b/>
            <sz val="9"/>
            <color indexed="81"/>
            <rFont val="Tahoma"/>
            <family val="2"/>
          </rPr>
          <t>wim van tilborg:</t>
        </r>
        <r>
          <rPr>
            <sz val="9"/>
            <color indexed="81"/>
            <rFont val="Tahoma"/>
            <family val="2"/>
          </rPr>
          <t xml:space="preserve">
Gezien de eenvoud van de uitvoering (na aanloopkosten) gesteld op 5% van uitkering</t>
        </r>
      </text>
    </comment>
    <comment ref="C10" authorId="0" shapeId="0" xr:uid="{6A363F0B-C309-4EF2-8928-65A06C9CDA14}">
      <text>
        <r>
          <rPr>
            <b/>
            <sz val="9"/>
            <color indexed="81"/>
            <rFont val="Tahoma"/>
            <family val="2"/>
          </rPr>
          <t>wim van tilborg:</t>
        </r>
        <r>
          <rPr>
            <sz val="9"/>
            <color indexed="81"/>
            <rFont val="Tahoma"/>
            <family val="2"/>
          </rPr>
          <t xml:space="preserve">
Gesteld op kinderbijslagbedrag 12-17 jaar</t>
        </r>
      </text>
    </comment>
    <comment ref="A11" authorId="0" shapeId="0" xr:uid="{52D6A8B4-93DE-44EF-98CF-48422F9DB532}">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
</t>
        </r>
      </text>
    </comment>
    <comment ref="B17" authorId="0" shapeId="0" xr:uid="{C75780A5-D9C4-43A6-9909-B93025198A95}">
      <text>
        <r>
          <rPr>
            <b/>
            <sz val="9"/>
            <color indexed="81"/>
            <rFont val="Tahoma"/>
            <family val="2"/>
          </rPr>
          <t>wim van tilborg:</t>
        </r>
        <r>
          <rPr>
            <sz val="9"/>
            <color indexed="81"/>
            <rFont val="Tahoma"/>
            <family val="2"/>
          </rPr>
          <t xml:space="preserve">
Belastingdienst.nl
</t>
        </r>
      </text>
    </comment>
    <comment ref="D17" authorId="0" shapeId="0" xr:uid="{5EF0B2B4-FA7B-4BC7-8EF7-5BF3A6AEF2DD}">
      <text>
        <r>
          <rPr>
            <b/>
            <sz val="9"/>
            <color indexed="81"/>
            <rFont val="Tahoma"/>
            <family val="2"/>
          </rPr>
          <t>wim van tilborg:</t>
        </r>
        <r>
          <rPr>
            <sz val="9"/>
            <color indexed="81"/>
            <rFont val="Tahoma"/>
            <family val="2"/>
          </rPr>
          <t xml:space="preserve">
Belastingdienst.nl</t>
        </r>
      </text>
    </comment>
    <comment ref="B19" authorId="0" shapeId="0" xr:uid="{3C97967C-C7E9-451F-B817-D50633F6AD45}">
      <text>
        <r>
          <rPr>
            <b/>
            <sz val="9"/>
            <color indexed="81"/>
            <rFont val="Tahoma"/>
            <family val="2"/>
          </rPr>
          <t>wim van tilborg:</t>
        </r>
        <r>
          <rPr>
            <sz val="9"/>
            <color indexed="81"/>
            <rFont val="Tahoma"/>
            <family val="2"/>
          </rPr>
          <t xml:space="preserve">
Aatal gezinnen dat kinderbijslag ontvangt
</t>
        </r>
      </text>
    </comment>
    <comment ref="D19" authorId="0" shapeId="0" xr:uid="{31D07CD4-8480-440B-AD3B-456E07EE7175}">
      <text>
        <r>
          <rPr>
            <b/>
            <sz val="9"/>
            <color indexed="81"/>
            <rFont val="Tahoma"/>
            <charset val="1"/>
          </rPr>
          <t>wim van tilborg:</t>
        </r>
        <r>
          <rPr>
            <sz val="9"/>
            <color indexed="81"/>
            <rFont val="Tahoma"/>
            <charset val="1"/>
          </rPr>
          <t xml:space="preserve">
baasvannederland.nl</t>
        </r>
      </text>
    </comment>
    <comment ref="B22" authorId="0" shapeId="0" xr:uid="{889E6F77-89F0-4FF9-B243-4D543E1089D9}">
      <text>
        <r>
          <rPr>
            <b/>
            <sz val="9"/>
            <color indexed="81"/>
            <rFont val="Tahoma"/>
            <charset val="1"/>
          </rPr>
          <t>wim van tilborg:</t>
        </r>
        <r>
          <rPr>
            <sz val="9"/>
            <color indexed="81"/>
            <rFont val="Tahoma"/>
            <charset val="1"/>
          </rPr>
          <t xml:space="preserve">
CBS maart 2020
Dit is slechts
(4E5/B35)*100 = 3% van het aantal inkomens </t>
        </r>
      </text>
    </comment>
    <comment ref="D22" authorId="0" shapeId="0" xr:uid="{A5168070-7EEB-49D8-A518-5B14219E4A44}">
      <text>
        <r>
          <rPr>
            <b/>
            <sz val="9"/>
            <color indexed="81"/>
            <rFont val="Tahoma"/>
            <charset val="1"/>
          </rPr>
          <t>wim van tilborg:</t>
        </r>
        <r>
          <rPr>
            <sz val="9"/>
            <color indexed="81"/>
            <rFont val="Tahoma"/>
            <charset val="1"/>
          </rPr>
          <t xml:space="preserve">
Gemeente.nu
kosten per uitkering inclusief uitvoering</t>
        </r>
      </text>
    </comment>
    <comment ref="E23" authorId="0" shapeId="0" xr:uid="{A686E7FD-31ED-436D-9458-881806BF4728}">
      <text>
        <r>
          <rPr>
            <b/>
            <sz val="9"/>
            <color indexed="81"/>
            <rFont val="Tahoma"/>
            <charset val="1"/>
          </rPr>
          <t>wim van tilborg:</t>
        </r>
        <r>
          <rPr>
            <sz val="9"/>
            <color indexed="81"/>
            <rFont val="Tahoma"/>
            <charset val="1"/>
          </rPr>
          <t xml:space="preserve">
CBS 2012 (meest recent cijfer, maar wel indicatief voor dit doel: grootteorde vaststellen
</t>
        </r>
      </text>
    </comment>
    <comment ref="E24" authorId="0" shapeId="0" xr:uid="{8A182B1F-E835-43F5-B30F-8B01E50124E8}">
      <text>
        <r>
          <rPr>
            <b/>
            <sz val="9"/>
            <color indexed="81"/>
            <rFont val="Tahoma"/>
            <charset val="1"/>
          </rPr>
          <t>wim van tilborg:</t>
        </r>
        <r>
          <rPr>
            <sz val="9"/>
            <color indexed="81"/>
            <rFont val="Tahoma"/>
            <charset val="1"/>
          </rPr>
          <t xml:space="preserve">
CBS 2012 (meest recent cijfer, maar wel indicatief voor dit doel: grootteorde vaststellen</t>
        </r>
      </text>
    </comment>
    <comment ref="B28" authorId="0" shapeId="0" xr:uid="{268B920F-158B-4F29-B257-668A763E8380}">
      <text>
        <r>
          <rPr>
            <b/>
            <sz val="9"/>
            <color indexed="81"/>
            <rFont val="Tahoma"/>
            <family val="2"/>
          </rPr>
          <t>wim van tilborg:</t>
        </r>
        <r>
          <rPr>
            <sz val="9"/>
            <color indexed="81"/>
            <rFont val="Tahoma"/>
            <family val="2"/>
          </rPr>
          <t xml:space="preserve">
Gegevens UWV 2019</t>
        </r>
      </text>
    </comment>
    <comment ref="M34" authorId="0" shapeId="0" xr:uid="{CA869643-9C39-4565-8CB4-9CB051C625BA}">
      <text>
        <r>
          <rPr>
            <b/>
            <sz val="9"/>
            <color indexed="81"/>
            <rFont val="Tahoma"/>
            <family val="2"/>
          </rPr>
          <t>wim van tilborg:</t>
        </r>
        <r>
          <rPr>
            <sz val="9"/>
            <color indexed="81"/>
            <rFont val="Tahoma"/>
            <family val="2"/>
          </rPr>
          <t xml:space="preserve">
Totaal besparingen, zonder WW!!!
</t>
        </r>
      </text>
    </comment>
    <comment ref="A41" authorId="0" shapeId="0" xr:uid="{B345339A-8C78-4301-96DC-0F94CBD642E3}">
      <text>
        <r>
          <rPr>
            <b/>
            <sz val="9"/>
            <color indexed="81"/>
            <rFont val="Tahoma"/>
            <family val="2"/>
          </rPr>
          <t>wim van tilborg:</t>
        </r>
        <r>
          <rPr>
            <sz val="9"/>
            <color indexed="81"/>
            <rFont val="Tahoma"/>
            <family val="2"/>
          </rPr>
          <t xml:space="preserve">
Dyn BI van alle inkomens, jongeren &lt;21 jaar (ca 1 miljoen)
 niet meegerekend.</t>
        </r>
      </text>
    </comment>
    <comment ref="B41" authorId="0" shapeId="0" xr:uid="{737B62D7-F9F0-4C5C-8063-423C7E161730}">
      <text>
        <r>
          <rPr>
            <b/>
            <sz val="9"/>
            <color indexed="81"/>
            <rFont val="Tahoma"/>
            <charset val="1"/>
          </rPr>
          <t>wim van tilborg:</t>
        </r>
        <r>
          <rPr>
            <sz val="9"/>
            <color indexed="81"/>
            <rFont val="Tahoma"/>
            <charset val="1"/>
          </rPr>
          <t xml:space="preserve">
Dit deciel wordt vrijwel geheel gevuld met deeltijdinkomens van jongeren. We rekenen daarom met hun uitkering van € 1500/jaar</t>
        </r>
      </text>
    </comment>
    <comment ref="C41" authorId="0" shapeId="0" xr:uid="{3EECCE87-16C7-4693-8E0A-AEECC1EEA9AD}">
      <text>
        <r>
          <rPr>
            <b/>
            <sz val="9"/>
            <color indexed="81"/>
            <rFont val="Tahoma"/>
            <charset val="1"/>
          </rPr>
          <t>wim van tilborg:</t>
        </r>
        <r>
          <rPr>
            <sz val="9"/>
            <color indexed="81"/>
            <rFont val="Tahoma"/>
            <charset val="1"/>
          </rPr>
          <t xml:space="preserve">
In dit deciel zitten hoofdzakelijk tweedebaners van huishoudens (gesteld op 80%) die ca 12600 ontvangen, de andere 20% bestaat uit minder-jarigen die € 1500 ontvangen.</t>
        </r>
      </text>
    </comment>
    <comment ref="D41" authorId="0" shapeId="0" xr:uid="{4855F9B9-41B4-4832-B5F8-C07F7A88A7B3}">
      <text>
        <r>
          <rPr>
            <b/>
            <sz val="9"/>
            <color indexed="81"/>
            <rFont val="Tahoma"/>
            <charset val="1"/>
          </rPr>
          <t>wim van tilborg:</t>
        </r>
        <r>
          <rPr>
            <sz val="9"/>
            <color indexed="81"/>
            <rFont val="Tahoma"/>
            <charset val="1"/>
          </rPr>
          <t xml:space="preserve">
Hier zit een fout doordat de bijstandsuitkering wordt afgeschaft. Onmgeveer 30% van dit deciel ontving bijstand. Zij verliezen dus hun oude uitkering die vervangen wordt door het BI, maar via een speciaal compensatiefonds wordt dit aangevuld. De fout in de eindberekeningen van 30% van een deciel is 3% en dus beperkt.</t>
        </r>
      </text>
    </comment>
    <comment ref="A43" authorId="0" shapeId="0" xr:uid="{CBBE828E-146A-49F7-B7FA-96DBF04E64D0}">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t>
        </r>
      </text>
    </comment>
    <comment ref="A48" authorId="0" shapeId="0" xr:uid="{198EE909-838B-4DEB-876D-63F41F54737C}">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A50" authorId="0" shapeId="0" xr:uid="{B1AE10DF-EA2C-4406-9226-AE73A2F8981D}">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A53" authorId="0" shapeId="0" xr:uid="{3A7B8BF7-EAE0-47B0-873B-478E4A1FFE92}">
      <text>
        <r>
          <rPr>
            <b/>
            <sz val="9"/>
            <color indexed="81"/>
            <rFont val="Tahoma"/>
            <family val="2"/>
          </rPr>
          <t>wim van tilborg:</t>
        </r>
        <r>
          <rPr>
            <sz val="9"/>
            <color indexed="81"/>
            <rFont val="Tahoma"/>
            <family val="2"/>
          </rPr>
          <t xml:space="preserve">
&lt;20711=2711,
&gt;20711&lt;68507=2711-5,762% Belastbaar inkomen
&gt;68507=0</t>
        </r>
      </text>
    </comment>
    <comment ref="A56" authorId="0" shapeId="0" xr:uid="{60EFE5D1-D9E4-46D5-8BC1-7DFF88E83A97}">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59" authorId="0" shapeId="0" xr:uid="{FFA6DF50-476F-43E9-94FC-01AF59DA974A}">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Omdat pensioen maximaal 70% van laatst verdiend inkomen (of middeninkomen) is, zouden er ook geen AOWers in deciel 10 en 9 vallen. Echter, gepensioneerden hebben vaak ook kapitaal-inkomen dat in het bruto-inkomen is opgenomen (Box 3). Daarom laten we voor gepensioneerden alleen deciel 9 vallen
We verdelen de AOW-trekkenden/gepensioneerden dus over de decielen 3 t/m 9.</t>
        </r>
      </text>
    </comment>
    <comment ref="A84" authorId="0" shapeId="0" xr:uid="{56242766-4995-428B-898A-4F93DBDFA8B8}">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Aangezien pensioen maximaal 70% van laatst verdiend inkomen (of middeninkomen) is, vallen er ook geen AOWers in deciel 10 en 9.
We verdelen de AOW-trekkenden/gepensioneerden dus over de decielen 3-8.</t>
        </r>
      </text>
    </comment>
    <comment ref="A133" authorId="0" shapeId="0" xr:uid="{20B32C8D-425F-4FE6-B21E-0EC700010CE5}">
      <text>
        <r>
          <rPr>
            <b/>
            <sz val="9"/>
            <color indexed="81"/>
            <rFont val="Tahoma"/>
            <charset val="1"/>
          </rPr>
          <t>wim van tilborg:</t>
        </r>
        <r>
          <rPr>
            <sz val="9"/>
            <color indexed="81"/>
            <rFont val="Tahoma"/>
            <charset val="1"/>
          </rPr>
          <t xml:space="preserve">
Van de besparingen, waarin de WW niet werd meegenomen, is een bedrag van 10 miljard afgetrokken om gratis kinderopvang te bekostigen
</t>
        </r>
      </text>
    </comment>
    <comment ref="N140" authorId="0" shapeId="0" xr:uid="{D6A0A466-94ED-4004-9AC9-AD098A6E32B9}">
      <text>
        <r>
          <rPr>
            <b/>
            <sz val="9"/>
            <color indexed="81"/>
            <rFont val="Tahoma"/>
            <charset val="1"/>
          </rPr>
          <t>wim van tilborg:</t>
        </r>
        <r>
          <rPr>
            <sz val="9"/>
            <color indexed="81"/>
            <rFont val="Tahoma"/>
            <charset val="1"/>
          </rPr>
          <t xml:space="preserve">
Inkomen-offer van de 'rijken'dat stroomt naar de lagere inkomens.</t>
        </r>
      </text>
    </comment>
    <comment ref="O140" authorId="0" shapeId="0" xr:uid="{6B269C13-12B1-4D5C-AA66-B54E89A8186C}">
      <text>
        <r>
          <rPr>
            <b/>
            <sz val="9"/>
            <color indexed="81"/>
            <rFont val="Tahoma"/>
            <family val="2"/>
          </rPr>
          <t>wim van tilborg:</t>
        </r>
        <r>
          <rPr>
            <sz val="9"/>
            <color indexed="81"/>
            <rFont val="Tahoma"/>
            <family val="2"/>
          </rPr>
          <t xml:space="preserve">
De totale inkomens-stijging tot en met het modale inkomen van de werkenden
</t>
        </r>
      </text>
    </comment>
    <comment ref="N141" authorId="0" shapeId="0" xr:uid="{7922AA70-B348-4630-9FA8-BEA66F5605DD}">
      <text>
        <r>
          <rPr>
            <b/>
            <sz val="9"/>
            <color indexed="81"/>
            <rFont val="Tahoma"/>
            <family val="2"/>
          </rPr>
          <t>wim van tilborg:</t>
        </r>
        <r>
          <rPr>
            <sz val="9"/>
            <color indexed="81"/>
            <rFont val="Tahoma"/>
            <family val="2"/>
          </rPr>
          <t xml:space="preserve">
</t>
        </r>
      </text>
    </comment>
    <comment ref="O141" authorId="0" shapeId="0" xr:uid="{D7EE7C44-4462-4C64-9347-7D03D9B94956}">
      <text>
        <r>
          <rPr>
            <b/>
            <sz val="9"/>
            <color indexed="81"/>
            <rFont val="Tahoma"/>
            <family val="2"/>
          </rPr>
          <t>wim van tilborg:</t>
        </r>
        <r>
          <rPr>
            <sz val="9"/>
            <color indexed="81"/>
            <rFont val="Tahoma"/>
            <family val="2"/>
          </rPr>
          <t xml:space="preserve">
De totale inkomens-stijging tot en met het modale inkomen van de gepensioneerden</t>
        </r>
      </text>
    </comment>
    <comment ref="O142" authorId="0" shapeId="0" xr:uid="{8E2E7517-289A-42E4-BE52-34317D0A97C2}">
      <text>
        <r>
          <rPr>
            <b/>
            <sz val="9"/>
            <color indexed="81"/>
            <rFont val="Tahoma"/>
            <family val="2"/>
          </rPr>
          <t>wim van tilborg:</t>
        </r>
        <r>
          <rPr>
            <sz val="9"/>
            <color indexed="81"/>
            <rFont val="Tahoma"/>
            <family val="2"/>
          </rPr>
          <t xml:space="preserve">
De totale inkomens-stijging tot en met het modale inkomen van werkenden + gepensioneerden</t>
        </r>
      </text>
    </comment>
    <comment ref="A149" authorId="0" shapeId="0" xr:uid="{46A4B8EB-7E68-4B37-9E0D-E8A79901C014}">
      <text>
        <r>
          <rPr>
            <b/>
            <sz val="9"/>
            <color indexed="81"/>
            <rFont val="Tahoma"/>
            <family val="2"/>
          </rPr>
          <t>wim van tilborg:</t>
        </r>
        <r>
          <rPr>
            <sz val="9"/>
            <color indexed="81"/>
            <rFont val="Tahoma"/>
            <family val="2"/>
          </rPr>
          <t xml:space="preserve">
IB volge
ns huidg tarief over inkomen+basisinkomen minus de thans geincasseerde IB</t>
        </r>
      </text>
    </comment>
    <comment ref="A151" authorId="0" shapeId="0" xr:uid="{52FA2E17-BDE7-4EB7-BCF8-4DE12A7C8DFF}">
      <text>
        <r>
          <rPr>
            <b/>
            <sz val="9"/>
            <color indexed="81"/>
            <rFont val="Tahoma"/>
            <family val="2"/>
          </rPr>
          <t>wim van tilborg:</t>
        </r>
        <r>
          <rPr>
            <sz val="9"/>
            <color indexed="81"/>
            <rFont val="Tahoma"/>
            <family val="2"/>
          </rPr>
          <t xml:space="preserve">
IB volgens de nieuwe tarieven geheven over inkomen + basisinkomen minus de thans geincasseerde IB</t>
        </r>
      </text>
    </comment>
    <comment ref="F170" authorId="0" shapeId="0" xr:uid="{E6993ECE-472E-417C-9916-42EDE47AF5A0}">
      <text>
        <r>
          <rPr>
            <b/>
            <sz val="9"/>
            <color indexed="81"/>
            <rFont val="Tahoma"/>
            <family val="2"/>
          </rPr>
          <t>wim van tilborg:</t>
        </r>
        <r>
          <rPr>
            <sz val="9"/>
            <color indexed="81"/>
            <rFont val="Tahoma"/>
            <family val="2"/>
          </rPr>
          <t xml:space="preserve">
Iemand die een arbeidsinkomen van nul heeft krijgt toch bijstandsuitkering ad € 12600 en is daarover belastingplichtig</t>
        </r>
      </text>
    </comment>
    <comment ref="F171" authorId="0" shapeId="0" xr:uid="{0701EEBE-A6D9-4DD7-B7CA-F3DCBD6EF3A2}">
      <text>
        <r>
          <rPr>
            <b/>
            <sz val="9"/>
            <color indexed="81"/>
            <rFont val="Tahoma"/>
            <family val="2"/>
          </rPr>
          <t>wim van tilborg:</t>
        </r>
        <r>
          <rPr>
            <sz val="9"/>
            <color indexed="81"/>
            <rFont val="Tahoma"/>
            <family val="2"/>
          </rPr>
          <t xml:space="preserve">
Iemand die een arbeidsinkomen van € 7400 heeft krijgt aanvulling vanuit bijstand tot minstens 12600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A9" authorId="0" shapeId="0" xr:uid="{1A365A34-7347-4C03-8CB8-C307069AD51C}">
      <text>
        <r>
          <rPr>
            <b/>
            <sz val="9"/>
            <color indexed="81"/>
            <rFont val="Tahoma"/>
            <family val="2"/>
          </rPr>
          <t xml:space="preserve">wim van tilborg
</t>
        </r>
        <r>
          <rPr>
            <sz val="9"/>
            <color indexed="81"/>
            <rFont val="Tahoma"/>
            <family val="2"/>
          </rPr>
          <t>Ingezetenen van Nederland vaaf 21 jaar:
Volgens CBS in 2019:
totaal 17,282,163
Tot 20 jaar: 3791838
21 jr en ouder: 13.490.325n</t>
        </r>
      </text>
    </comment>
    <comment ref="C9" authorId="0" shapeId="0" xr:uid="{8731D620-C1AF-4E84-A56B-86E98F3F4F1D}">
      <text>
        <r>
          <rPr>
            <b/>
            <sz val="9"/>
            <color indexed="81"/>
            <rFont val="Tahoma"/>
            <family val="2"/>
          </rPr>
          <t>wim van tilborg:</t>
        </r>
        <r>
          <rPr>
            <sz val="9"/>
            <color indexed="81"/>
            <rFont val="Tahoma"/>
            <family val="2"/>
          </rPr>
          <t xml:space="preserve">
= bijstandsuitkering
zie www.rijksoverheid.nl</t>
        </r>
      </text>
    </comment>
    <comment ref="D9" authorId="0" shapeId="0" xr:uid="{BC0EEB65-7CE3-4CF1-B6F5-F17BAB90446C}">
      <text>
        <r>
          <rPr>
            <b/>
            <sz val="9"/>
            <color indexed="81"/>
            <rFont val="Tahoma"/>
            <family val="2"/>
          </rPr>
          <t>wim van tilborg:</t>
        </r>
        <r>
          <rPr>
            <sz val="9"/>
            <color indexed="81"/>
            <rFont val="Tahoma"/>
            <family val="2"/>
          </rPr>
          <t xml:space="preserve">
Gezien de eenvoud van de uitvoering (na aanloopkosten) gesteld op 5% van uitkering</t>
        </r>
      </text>
    </comment>
    <comment ref="C10" authorId="0" shapeId="0" xr:uid="{8B2D0F73-87BE-47B7-8F48-5F7D9074611A}">
      <text>
        <r>
          <rPr>
            <b/>
            <sz val="9"/>
            <color indexed="81"/>
            <rFont val="Tahoma"/>
            <family val="2"/>
          </rPr>
          <t>wim van tilborg:</t>
        </r>
        <r>
          <rPr>
            <sz val="9"/>
            <color indexed="81"/>
            <rFont val="Tahoma"/>
            <family val="2"/>
          </rPr>
          <t xml:space="preserve">
Gesteld op kinderbijslagbedrag 12-17 jaar</t>
        </r>
      </text>
    </comment>
    <comment ref="A11" authorId="0" shapeId="0" xr:uid="{94FE48CA-F744-4B5F-AD63-E7862EDDF30E}">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
</t>
        </r>
      </text>
    </comment>
    <comment ref="B17" authorId="0" shapeId="0" xr:uid="{BA41D060-56C4-4D72-B159-E2976FA1E4D0}">
      <text>
        <r>
          <rPr>
            <b/>
            <sz val="9"/>
            <color indexed="81"/>
            <rFont val="Tahoma"/>
            <family val="2"/>
          </rPr>
          <t>wim van tilborg:</t>
        </r>
        <r>
          <rPr>
            <sz val="9"/>
            <color indexed="81"/>
            <rFont val="Tahoma"/>
            <family val="2"/>
          </rPr>
          <t xml:space="preserve">
Belastingdienst.nl
</t>
        </r>
      </text>
    </comment>
    <comment ref="D17" authorId="0" shapeId="0" xr:uid="{508032A9-5BFC-4AA8-BDB5-C2D52EE6B0A2}">
      <text>
        <r>
          <rPr>
            <b/>
            <sz val="9"/>
            <color indexed="81"/>
            <rFont val="Tahoma"/>
            <family val="2"/>
          </rPr>
          <t>wim van tilborg:</t>
        </r>
        <r>
          <rPr>
            <sz val="9"/>
            <color indexed="81"/>
            <rFont val="Tahoma"/>
            <family val="2"/>
          </rPr>
          <t xml:space="preserve">
Belastingdienst.nl</t>
        </r>
      </text>
    </comment>
    <comment ref="B19" authorId="0" shapeId="0" xr:uid="{F99E2761-57B3-4929-9906-B57EBECBED53}">
      <text>
        <r>
          <rPr>
            <b/>
            <sz val="9"/>
            <color indexed="81"/>
            <rFont val="Tahoma"/>
            <family val="2"/>
          </rPr>
          <t>wim van tilborg:</t>
        </r>
        <r>
          <rPr>
            <sz val="9"/>
            <color indexed="81"/>
            <rFont val="Tahoma"/>
            <family val="2"/>
          </rPr>
          <t xml:space="preserve">
Aatal gezinnen dat kinderbijslag ontvangt
</t>
        </r>
      </text>
    </comment>
    <comment ref="D19" authorId="0" shapeId="0" xr:uid="{C3FA8D23-4E3C-4ADD-BE1B-1296770D499A}">
      <text>
        <r>
          <rPr>
            <b/>
            <sz val="9"/>
            <color indexed="81"/>
            <rFont val="Tahoma"/>
            <charset val="1"/>
          </rPr>
          <t>wim van tilborg:</t>
        </r>
        <r>
          <rPr>
            <sz val="9"/>
            <color indexed="81"/>
            <rFont val="Tahoma"/>
            <charset val="1"/>
          </rPr>
          <t xml:space="preserve">
baasvannederland.nl</t>
        </r>
      </text>
    </comment>
    <comment ref="B22" authorId="0" shapeId="0" xr:uid="{805ADA38-CE9C-462A-889A-AFB5E1698068}">
      <text>
        <r>
          <rPr>
            <b/>
            <sz val="9"/>
            <color indexed="81"/>
            <rFont val="Tahoma"/>
            <charset val="1"/>
          </rPr>
          <t>wim van tilborg:</t>
        </r>
        <r>
          <rPr>
            <sz val="9"/>
            <color indexed="81"/>
            <rFont val="Tahoma"/>
            <charset val="1"/>
          </rPr>
          <t xml:space="preserve">
CBS maart 2020
Dit is slechts
(4E5/B35)*100 = 3% van het aantal inkomens </t>
        </r>
      </text>
    </comment>
    <comment ref="D22" authorId="0" shapeId="0" xr:uid="{DB47ED00-67F3-497C-9243-5E1203319D71}">
      <text>
        <r>
          <rPr>
            <b/>
            <sz val="9"/>
            <color indexed="81"/>
            <rFont val="Tahoma"/>
            <charset val="1"/>
          </rPr>
          <t>wim van tilborg:</t>
        </r>
        <r>
          <rPr>
            <sz val="9"/>
            <color indexed="81"/>
            <rFont val="Tahoma"/>
            <charset val="1"/>
          </rPr>
          <t xml:space="preserve">
Gemeente.nu
kosten per uitkering inclusief uitvoering</t>
        </r>
      </text>
    </comment>
    <comment ref="E23" authorId="0" shapeId="0" xr:uid="{2A1ECF16-01DD-4832-9D05-818C8F819323}">
      <text>
        <r>
          <rPr>
            <b/>
            <sz val="9"/>
            <color indexed="81"/>
            <rFont val="Tahoma"/>
            <charset val="1"/>
          </rPr>
          <t>wim van tilborg:</t>
        </r>
        <r>
          <rPr>
            <sz val="9"/>
            <color indexed="81"/>
            <rFont val="Tahoma"/>
            <charset val="1"/>
          </rPr>
          <t xml:space="preserve">
CBS 2012 (meest recent cijfer, maar wel indicatief voor dit doel: grootteorde vaststellen
</t>
        </r>
      </text>
    </comment>
    <comment ref="E24" authorId="0" shapeId="0" xr:uid="{E8A9E6AF-576A-412F-ABE1-CE03CAF71B7B}">
      <text>
        <r>
          <rPr>
            <b/>
            <sz val="9"/>
            <color indexed="81"/>
            <rFont val="Tahoma"/>
            <charset val="1"/>
          </rPr>
          <t>wim van tilborg:</t>
        </r>
        <r>
          <rPr>
            <sz val="9"/>
            <color indexed="81"/>
            <rFont val="Tahoma"/>
            <charset val="1"/>
          </rPr>
          <t xml:space="preserve">
CBS 2012 (meest recent cijfer, maar wel indicatief voor dit doel: grootteorde vaststellen</t>
        </r>
      </text>
    </comment>
    <comment ref="B28" authorId="0" shapeId="0" xr:uid="{309A9CA8-1436-42A4-B5CB-2266EEB94F09}">
      <text>
        <r>
          <rPr>
            <b/>
            <sz val="9"/>
            <color indexed="81"/>
            <rFont val="Tahoma"/>
            <family val="2"/>
          </rPr>
          <t>wim van tilborg:</t>
        </r>
        <r>
          <rPr>
            <sz val="9"/>
            <color indexed="81"/>
            <rFont val="Tahoma"/>
            <family val="2"/>
          </rPr>
          <t xml:space="preserve">
Gegevens UWV 2019</t>
        </r>
      </text>
    </comment>
    <comment ref="M34" authorId="0" shapeId="0" xr:uid="{61F2F40D-A4F8-4655-AC36-9E8B1C486FF2}">
      <text>
        <r>
          <rPr>
            <b/>
            <sz val="9"/>
            <color indexed="81"/>
            <rFont val="Tahoma"/>
            <family val="2"/>
          </rPr>
          <t>wim van tilborg:</t>
        </r>
        <r>
          <rPr>
            <sz val="9"/>
            <color indexed="81"/>
            <rFont val="Tahoma"/>
            <family val="2"/>
          </rPr>
          <t xml:space="preserve">
Totaal besparingen, zonder WW!!!
</t>
        </r>
      </text>
    </comment>
    <comment ref="A41" authorId="0" shapeId="0" xr:uid="{CFAE78E9-651B-41CA-8611-46A607ADDECA}">
      <text>
        <r>
          <rPr>
            <b/>
            <sz val="9"/>
            <color indexed="81"/>
            <rFont val="Tahoma"/>
            <family val="2"/>
          </rPr>
          <t>wim van tilborg:</t>
        </r>
        <r>
          <rPr>
            <sz val="9"/>
            <color indexed="81"/>
            <rFont val="Tahoma"/>
            <family val="2"/>
          </rPr>
          <t xml:space="preserve">
Dyn BI van alle inkomens, jongeren &lt;21 jaar (ca 1 miljoen)
 niet meegerekend.</t>
        </r>
      </text>
    </comment>
    <comment ref="B41" authorId="0" shapeId="0" xr:uid="{C6AA4BF5-D616-4E00-81BD-5D387171AA34}">
      <text>
        <r>
          <rPr>
            <b/>
            <sz val="9"/>
            <color indexed="81"/>
            <rFont val="Tahoma"/>
            <charset val="1"/>
          </rPr>
          <t>wim van tilborg:</t>
        </r>
        <r>
          <rPr>
            <sz val="9"/>
            <color indexed="81"/>
            <rFont val="Tahoma"/>
            <charset val="1"/>
          </rPr>
          <t xml:space="preserve">
Dit deciel wordt vrijwel geheel gevuld met deeltijdinkomens van jongeren. We rekenen daarom met hun uitkering van € 1500/jaar</t>
        </r>
      </text>
    </comment>
    <comment ref="C41" authorId="0" shapeId="0" xr:uid="{2C35B867-6FCB-462A-A1ED-64D50E4EB3B6}">
      <text>
        <r>
          <rPr>
            <b/>
            <sz val="9"/>
            <color indexed="81"/>
            <rFont val="Tahoma"/>
            <charset val="1"/>
          </rPr>
          <t>wim van tilborg:</t>
        </r>
        <r>
          <rPr>
            <sz val="9"/>
            <color indexed="81"/>
            <rFont val="Tahoma"/>
            <charset val="1"/>
          </rPr>
          <t xml:space="preserve">
In dit deciel zitten hoofdzakelijk tweedebaners van huishoudens (gesteld op 80%) die ca 12600 ontvangen, de andere 20% bestaat uit minder-jarigen die € 1500 ontvangen.</t>
        </r>
      </text>
    </comment>
    <comment ref="D41" authorId="0" shapeId="0" xr:uid="{0427B111-8168-4512-BBAA-F2114F28764C}">
      <text>
        <r>
          <rPr>
            <b/>
            <sz val="9"/>
            <color indexed="81"/>
            <rFont val="Tahoma"/>
            <charset val="1"/>
          </rPr>
          <t>wim van tilborg:</t>
        </r>
        <r>
          <rPr>
            <sz val="9"/>
            <color indexed="81"/>
            <rFont val="Tahoma"/>
            <charset val="1"/>
          </rPr>
          <t xml:space="preserve">
Hier zit een fout doordat de bijstandsuitkering wordt afgeschaft. Onmgeveer 30% van dit deciel ontving bijstand. Zij verliezen dus hun oude uitkering die vervangen wordt door het BI, maar via een speciaal compensatiefonds wordt dit aangevuld. De fout in de eindberekeningen van 30% van een deciel is 3% en dus beperkt.</t>
        </r>
      </text>
    </comment>
    <comment ref="A43" authorId="0" shapeId="0" xr:uid="{656A75FA-147C-4234-B125-8409A0ADF748}">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t>
        </r>
      </text>
    </comment>
    <comment ref="A48" authorId="0" shapeId="0" xr:uid="{3F935226-3ABB-4BFF-813B-0D50052A259F}">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A50" authorId="0" shapeId="0" xr:uid="{DFD6A6FB-88F7-41B4-A67B-093D67C26D93}">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A53" authorId="0" shapeId="0" xr:uid="{996274FE-600B-4B4C-A2C0-464F16060B12}">
      <text>
        <r>
          <rPr>
            <b/>
            <sz val="9"/>
            <color indexed="81"/>
            <rFont val="Tahoma"/>
            <family val="2"/>
          </rPr>
          <t>wim van tilborg:</t>
        </r>
        <r>
          <rPr>
            <sz val="9"/>
            <color indexed="81"/>
            <rFont val="Tahoma"/>
            <family val="2"/>
          </rPr>
          <t xml:space="preserve">
&lt;20711=2711,
&gt;20711&lt;68507=2711-5,762% Belastbaar inkomen
&gt;68507=0</t>
        </r>
      </text>
    </comment>
    <comment ref="A56" authorId="0" shapeId="0" xr:uid="{C87C1D7E-F1CF-42EC-842D-D3C82030BAAA}">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59" authorId="0" shapeId="0" xr:uid="{1B24063E-4CAA-4106-948F-DB8CC1DEEDF7}">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Omdat pensioen maximaal 70% van laatst verdiend inkomen (of middeninkomen) is, zouden er ook geen AOWers in deciel 10 en 9 vallen. Echter, gepensioneerden hebben vaak ook kapitaal-inkomen dat in het bruto-inkomen is opgenomen (Box 3). Daarom laten we voor gepensioneerden alleen deciel 9 vallen
We verdelen de AOW-trekkenden/gepensioneerden dus over de decielen 3 t/m 9.</t>
        </r>
      </text>
    </comment>
    <comment ref="A84" authorId="0" shapeId="0" xr:uid="{FD3C2736-B1B5-4862-B0AF-F2ABAC9A8957}">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Aangezien pensioen maximaal 70% van laatst verdiend inkomen (of middeninkomen) is, vallen er ook geen AOWers in deciel 10 en 9.
We verdelen de AOW-trekkenden/gepensioneerden dus over de decielen 3-8.</t>
        </r>
      </text>
    </comment>
    <comment ref="A133" authorId="0" shapeId="0" xr:uid="{993B8D42-5D4C-421F-9617-5DE35F11348C}">
      <text>
        <r>
          <rPr>
            <b/>
            <sz val="9"/>
            <color indexed="81"/>
            <rFont val="Tahoma"/>
            <charset val="1"/>
          </rPr>
          <t>wim van tilborg:</t>
        </r>
        <r>
          <rPr>
            <sz val="9"/>
            <color indexed="81"/>
            <rFont val="Tahoma"/>
            <charset val="1"/>
          </rPr>
          <t xml:space="preserve">
Van de besparingen, waarin de WW niet werd meegenomen, is een bedrag van 10 miljard afgetrokken om gratis kinderopvang te bekostigen
</t>
        </r>
      </text>
    </comment>
    <comment ref="N140" authorId="0" shapeId="0" xr:uid="{9B7F7F95-978D-4531-971F-35167596C9EA}">
      <text>
        <r>
          <rPr>
            <b/>
            <sz val="9"/>
            <color indexed="81"/>
            <rFont val="Tahoma"/>
            <charset val="1"/>
          </rPr>
          <t>wim van tilborg:</t>
        </r>
        <r>
          <rPr>
            <sz val="9"/>
            <color indexed="81"/>
            <rFont val="Tahoma"/>
            <charset val="1"/>
          </rPr>
          <t xml:space="preserve">
Inkomen-offer van de 'rijken'dat stroomt naar de lagere inkomens.</t>
        </r>
      </text>
    </comment>
    <comment ref="O140" authorId="0" shapeId="0" xr:uid="{B2475074-8C8A-42E5-8AF1-B51EBDA41C37}">
      <text>
        <r>
          <rPr>
            <b/>
            <sz val="9"/>
            <color indexed="81"/>
            <rFont val="Tahoma"/>
            <family val="2"/>
          </rPr>
          <t>wim van tilborg:</t>
        </r>
        <r>
          <rPr>
            <sz val="9"/>
            <color indexed="81"/>
            <rFont val="Tahoma"/>
            <family val="2"/>
          </rPr>
          <t xml:space="preserve">
De totale inkomens-stijging tot en met het modale inkomen van de werkenden
</t>
        </r>
      </text>
    </comment>
    <comment ref="N141" authorId="0" shapeId="0" xr:uid="{90AC65B6-E8AC-4229-85C5-A959C82EB244}">
      <text>
        <r>
          <rPr>
            <b/>
            <sz val="9"/>
            <color indexed="81"/>
            <rFont val="Tahoma"/>
            <family val="2"/>
          </rPr>
          <t>wim van tilborg:</t>
        </r>
        <r>
          <rPr>
            <sz val="9"/>
            <color indexed="81"/>
            <rFont val="Tahoma"/>
            <family val="2"/>
          </rPr>
          <t xml:space="preserve">
</t>
        </r>
      </text>
    </comment>
    <comment ref="O141" authorId="0" shapeId="0" xr:uid="{458ECA8C-8AAB-4A1D-959C-A55008431A31}">
      <text>
        <r>
          <rPr>
            <b/>
            <sz val="9"/>
            <color indexed="81"/>
            <rFont val="Tahoma"/>
            <family val="2"/>
          </rPr>
          <t>wim van tilborg:</t>
        </r>
        <r>
          <rPr>
            <sz val="9"/>
            <color indexed="81"/>
            <rFont val="Tahoma"/>
            <family val="2"/>
          </rPr>
          <t xml:space="preserve">
De totale inkomens-stijging tot en met het modale inkomen van de gepensioneerden</t>
        </r>
      </text>
    </comment>
    <comment ref="O142" authorId="0" shapeId="0" xr:uid="{F063488B-DFC7-4F71-88D5-5AD81229B723}">
      <text>
        <r>
          <rPr>
            <b/>
            <sz val="9"/>
            <color indexed="81"/>
            <rFont val="Tahoma"/>
            <family val="2"/>
          </rPr>
          <t>wim van tilborg:</t>
        </r>
        <r>
          <rPr>
            <sz val="9"/>
            <color indexed="81"/>
            <rFont val="Tahoma"/>
            <family val="2"/>
          </rPr>
          <t xml:space="preserve">
De totale inkomens-stijging tot en met het modale inkomen van werkenden + gepensioneerden</t>
        </r>
      </text>
    </comment>
    <comment ref="A149" authorId="0" shapeId="0" xr:uid="{64C0AB54-1D1E-4FFC-ACFE-6B9F72CE45CE}">
      <text>
        <r>
          <rPr>
            <b/>
            <sz val="9"/>
            <color indexed="81"/>
            <rFont val="Tahoma"/>
            <family val="2"/>
          </rPr>
          <t>wim van tilborg:</t>
        </r>
        <r>
          <rPr>
            <sz val="9"/>
            <color indexed="81"/>
            <rFont val="Tahoma"/>
            <family val="2"/>
          </rPr>
          <t xml:space="preserve">
IB volge
ns huidg tarief over inkomen+basisinkomen minus de thans geincasseerde IB</t>
        </r>
      </text>
    </comment>
    <comment ref="A151" authorId="0" shapeId="0" xr:uid="{2B1A9CC5-11CB-4D3D-9F37-DCFBE3E690A4}">
      <text>
        <r>
          <rPr>
            <b/>
            <sz val="9"/>
            <color indexed="81"/>
            <rFont val="Tahoma"/>
            <family val="2"/>
          </rPr>
          <t>wim van tilborg:</t>
        </r>
        <r>
          <rPr>
            <sz val="9"/>
            <color indexed="81"/>
            <rFont val="Tahoma"/>
            <family val="2"/>
          </rPr>
          <t xml:space="preserve">
IB volgens de nieuwe tarieven geheven over inkomen + basisinkomen minus de thans geincasseerde IB</t>
        </r>
      </text>
    </comment>
    <comment ref="F170" authorId="0" shapeId="0" xr:uid="{4FA70642-4CDC-484E-80D3-57F1F74CF7C9}">
      <text>
        <r>
          <rPr>
            <b/>
            <sz val="9"/>
            <color indexed="81"/>
            <rFont val="Tahoma"/>
            <family val="2"/>
          </rPr>
          <t>wim van tilborg:</t>
        </r>
        <r>
          <rPr>
            <sz val="9"/>
            <color indexed="81"/>
            <rFont val="Tahoma"/>
            <family val="2"/>
          </rPr>
          <t xml:space="preserve">
Iemand die een arbeidsinkomen van nul heeft krijgt toch bijstandsuitkering ad € 12600 en is daarover belastingplichtig</t>
        </r>
      </text>
    </comment>
    <comment ref="F171" authorId="0" shapeId="0" xr:uid="{F9B87B09-D597-4875-9667-005460A4920D}">
      <text>
        <r>
          <rPr>
            <b/>
            <sz val="9"/>
            <color indexed="81"/>
            <rFont val="Tahoma"/>
            <family val="2"/>
          </rPr>
          <t>wim van tilborg:</t>
        </r>
        <r>
          <rPr>
            <sz val="9"/>
            <color indexed="81"/>
            <rFont val="Tahoma"/>
            <family val="2"/>
          </rPr>
          <t xml:space="preserve">
Iemand die een arbeidsinkomen van € 7400 heeft krijgt aanvulling vanuit bijstand tot minstens 12600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A9" authorId="0" shapeId="0" xr:uid="{E9D52D57-AB4A-4261-88EA-CBAAB14863AF}">
      <text>
        <r>
          <rPr>
            <b/>
            <sz val="9"/>
            <color indexed="81"/>
            <rFont val="Tahoma"/>
            <family val="2"/>
          </rPr>
          <t xml:space="preserve">wim van tilborg
</t>
        </r>
        <r>
          <rPr>
            <sz val="9"/>
            <color indexed="81"/>
            <rFont val="Tahoma"/>
            <family val="2"/>
          </rPr>
          <t>Ingezetenen van Nederland vaaf 21 jaar:
Volgens CBS in 2019:
totaal 17,282,163
Tot 20 jaar: 3791838
21 jr en ouder: 13.490.325n</t>
        </r>
      </text>
    </comment>
    <comment ref="C9" authorId="0" shapeId="0" xr:uid="{4A0DA6D1-1203-404D-9085-4C929C4AB536}">
      <text>
        <r>
          <rPr>
            <b/>
            <sz val="9"/>
            <color indexed="81"/>
            <rFont val="Tahoma"/>
            <family val="2"/>
          </rPr>
          <t>wim van tilborg:</t>
        </r>
        <r>
          <rPr>
            <sz val="9"/>
            <color indexed="81"/>
            <rFont val="Tahoma"/>
            <family val="2"/>
          </rPr>
          <t xml:space="preserve">
= bijstandsuitkering
zie www.rijksoverheid.nl</t>
        </r>
      </text>
    </comment>
    <comment ref="D9" authorId="0" shapeId="0" xr:uid="{DA057C57-D088-4CA2-9C09-62A8F861224F}">
      <text>
        <r>
          <rPr>
            <b/>
            <sz val="9"/>
            <color indexed="81"/>
            <rFont val="Tahoma"/>
            <family val="2"/>
          </rPr>
          <t>wim van tilborg:</t>
        </r>
        <r>
          <rPr>
            <sz val="9"/>
            <color indexed="81"/>
            <rFont val="Tahoma"/>
            <family val="2"/>
          </rPr>
          <t xml:space="preserve">
Gezien de eenvoud van de uitvoering (na aanloopkosten) gesteld op 5% van uitkering</t>
        </r>
      </text>
    </comment>
    <comment ref="C10" authorId="0" shapeId="0" xr:uid="{909C0178-1549-498B-B16D-4A995750A51A}">
      <text>
        <r>
          <rPr>
            <b/>
            <sz val="9"/>
            <color indexed="81"/>
            <rFont val="Tahoma"/>
            <family val="2"/>
          </rPr>
          <t>wim van tilborg:</t>
        </r>
        <r>
          <rPr>
            <sz val="9"/>
            <color indexed="81"/>
            <rFont val="Tahoma"/>
            <family val="2"/>
          </rPr>
          <t xml:space="preserve">
Gesteld op kinderbijslagbedrag 12-17 jaar</t>
        </r>
      </text>
    </comment>
    <comment ref="A11" authorId="0" shapeId="0" xr:uid="{A15E8CD4-C281-4177-ADB9-934DA45B2BE9}">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
</t>
        </r>
      </text>
    </comment>
    <comment ref="B17" authorId="0" shapeId="0" xr:uid="{4BA93A6D-0DA4-4FC2-8C6D-BAAD319739A0}">
      <text>
        <r>
          <rPr>
            <b/>
            <sz val="9"/>
            <color indexed="81"/>
            <rFont val="Tahoma"/>
            <family val="2"/>
          </rPr>
          <t>wim van tilborg:</t>
        </r>
        <r>
          <rPr>
            <sz val="9"/>
            <color indexed="81"/>
            <rFont val="Tahoma"/>
            <family val="2"/>
          </rPr>
          <t xml:space="preserve">
Belastingdienst.nl
</t>
        </r>
      </text>
    </comment>
    <comment ref="D17" authorId="0" shapeId="0" xr:uid="{3858BD7D-B0F8-462E-91C9-1DCDAE12810A}">
      <text>
        <r>
          <rPr>
            <b/>
            <sz val="9"/>
            <color indexed="81"/>
            <rFont val="Tahoma"/>
            <family val="2"/>
          </rPr>
          <t>wim van tilborg:</t>
        </r>
        <r>
          <rPr>
            <sz val="9"/>
            <color indexed="81"/>
            <rFont val="Tahoma"/>
            <family val="2"/>
          </rPr>
          <t xml:space="preserve">
Belastingdienst.nl</t>
        </r>
      </text>
    </comment>
    <comment ref="B19" authorId="0" shapeId="0" xr:uid="{8FA456F4-28E7-4D14-B006-4C62EA5705CF}">
      <text>
        <r>
          <rPr>
            <b/>
            <sz val="9"/>
            <color indexed="81"/>
            <rFont val="Tahoma"/>
            <family val="2"/>
          </rPr>
          <t>wim van tilborg:</t>
        </r>
        <r>
          <rPr>
            <sz val="9"/>
            <color indexed="81"/>
            <rFont val="Tahoma"/>
            <family val="2"/>
          </rPr>
          <t xml:space="preserve">
Aatal gezinnen dat kinderbijslag ontvangt
</t>
        </r>
      </text>
    </comment>
    <comment ref="D19" authorId="0" shapeId="0" xr:uid="{B0C4002B-D855-4AC5-9EDF-69C1394375BE}">
      <text>
        <r>
          <rPr>
            <b/>
            <sz val="9"/>
            <color indexed="81"/>
            <rFont val="Tahoma"/>
            <charset val="1"/>
          </rPr>
          <t>wim van tilborg:</t>
        </r>
        <r>
          <rPr>
            <sz val="9"/>
            <color indexed="81"/>
            <rFont val="Tahoma"/>
            <charset val="1"/>
          </rPr>
          <t xml:space="preserve">
baasvannederland.nl</t>
        </r>
      </text>
    </comment>
    <comment ref="B22" authorId="0" shapeId="0" xr:uid="{2FDAEFD7-C1C5-4B20-9C3D-EC65D29E385B}">
      <text>
        <r>
          <rPr>
            <b/>
            <sz val="9"/>
            <color indexed="81"/>
            <rFont val="Tahoma"/>
            <charset val="1"/>
          </rPr>
          <t>wim van tilborg:</t>
        </r>
        <r>
          <rPr>
            <sz val="9"/>
            <color indexed="81"/>
            <rFont val="Tahoma"/>
            <charset val="1"/>
          </rPr>
          <t xml:space="preserve">
CBS maart 2020
Dit is slechts
(4E5/B35)*100 = 3% van het aantal inkomens </t>
        </r>
      </text>
    </comment>
    <comment ref="D22" authorId="0" shapeId="0" xr:uid="{305ECF10-9A73-4415-8C48-D5900E533E94}">
      <text>
        <r>
          <rPr>
            <b/>
            <sz val="9"/>
            <color indexed="81"/>
            <rFont val="Tahoma"/>
            <charset val="1"/>
          </rPr>
          <t>wim van tilborg:</t>
        </r>
        <r>
          <rPr>
            <sz val="9"/>
            <color indexed="81"/>
            <rFont val="Tahoma"/>
            <charset val="1"/>
          </rPr>
          <t xml:space="preserve">
Gemeente.nu
kosten per uitkering inclusief uitvoering</t>
        </r>
      </text>
    </comment>
    <comment ref="E23" authorId="0" shapeId="0" xr:uid="{E6C534ED-4AFE-4E9E-B4F4-056CB77FC053}">
      <text>
        <r>
          <rPr>
            <b/>
            <sz val="9"/>
            <color indexed="81"/>
            <rFont val="Tahoma"/>
            <charset val="1"/>
          </rPr>
          <t>wim van tilborg:</t>
        </r>
        <r>
          <rPr>
            <sz val="9"/>
            <color indexed="81"/>
            <rFont val="Tahoma"/>
            <charset val="1"/>
          </rPr>
          <t xml:space="preserve">
CBS 2012 (meest recent cijfer, maar wel indicatief voor dit doel: grootteorde vaststellen
</t>
        </r>
      </text>
    </comment>
    <comment ref="E24" authorId="0" shapeId="0" xr:uid="{7D5AA0BA-7A4D-4FA9-A7DB-0F93503CB409}">
      <text>
        <r>
          <rPr>
            <b/>
            <sz val="9"/>
            <color indexed="81"/>
            <rFont val="Tahoma"/>
            <charset val="1"/>
          </rPr>
          <t>wim van tilborg:</t>
        </r>
        <r>
          <rPr>
            <sz val="9"/>
            <color indexed="81"/>
            <rFont val="Tahoma"/>
            <charset val="1"/>
          </rPr>
          <t xml:space="preserve">
CBS 2012 (meest recent cijfer, maar wel indicatief voor dit doel: grootteorde vaststellen</t>
        </r>
      </text>
    </comment>
    <comment ref="B28" authorId="0" shapeId="0" xr:uid="{EEFD9EBD-78CA-46B4-9C25-4F8CA4459A27}">
      <text>
        <r>
          <rPr>
            <b/>
            <sz val="9"/>
            <color indexed="81"/>
            <rFont val="Tahoma"/>
            <family val="2"/>
          </rPr>
          <t>wim van tilborg:</t>
        </r>
        <r>
          <rPr>
            <sz val="9"/>
            <color indexed="81"/>
            <rFont val="Tahoma"/>
            <family val="2"/>
          </rPr>
          <t xml:space="preserve">
Gegevens UWV 2019</t>
        </r>
      </text>
    </comment>
    <comment ref="M34" authorId="0" shapeId="0" xr:uid="{32B89019-31A9-49A8-AE52-7FEF806C6A0C}">
      <text>
        <r>
          <rPr>
            <b/>
            <sz val="9"/>
            <color indexed="81"/>
            <rFont val="Tahoma"/>
            <family val="2"/>
          </rPr>
          <t>wim van tilborg:</t>
        </r>
        <r>
          <rPr>
            <sz val="9"/>
            <color indexed="81"/>
            <rFont val="Tahoma"/>
            <family val="2"/>
          </rPr>
          <t xml:space="preserve">
Totaal besparingen, zonder WW!!!
</t>
        </r>
      </text>
    </comment>
    <comment ref="A41" authorId="0" shapeId="0" xr:uid="{E6F4013B-42AE-4692-A731-E3111D127F09}">
      <text>
        <r>
          <rPr>
            <b/>
            <sz val="9"/>
            <color indexed="81"/>
            <rFont val="Tahoma"/>
            <family val="2"/>
          </rPr>
          <t>wim van tilborg:</t>
        </r>
        <r>
          <rPr>
            <sz val="9"/>
            <color indexed="81"/>
            <rFont val="Tahoma"/>
            <family val="2"/>
          </rPr>
          <t xml:space="preserve">
Dyn BI van alle inkomens, jongeren &lt;21 jaar (ca 1 miljoen)
 niet meegerekend.</t>
        </r>
      </text>
    </comment>
    <comment ref="B41" authorId="0" shapeId="0" xr:uid="{7B16989E-5663-44A2-8941-85D8F2C8120A}">
      <text>
        <r>
          <rPr>
            <b/>
            <sz val="9"/>
            <color indexed="81"/>
            <rFont val="Tahoma"/>
            <charset val="1"/>
          </rPr>
          <t>wim van tilborg:</t>
        </r>
        <r>
          <rPr>
            <sz val="9"/>
            <color indexed="81"/>
            <rFont val="Tahoma"/>
            <charset val="1"/>
          </rPr>
          <t xml:space="preserve">
Dit deciel wordt vrijwel geheel gevuld met deeltijdinkomens van jongeren. We rekenen daarom met hun uitkering van € 1500/jaar</t>
        </r>
      </text>
    </comment>
    <comment ref="C41" authorId="0" shapeId="0" xr:uid="{CE05C8AB-E5A6-4F19-BBF5-BD8B06E4C0D7}">
      <text>
        <r>
          <rPr>
            <b/>
            <sz val="9"/>
            <color indexed="81"/>
            <rFont val="Tahoma"/>
            <charset val="1"/>
          </rPr>
          <t>wim van tilborg:</t>
        </r>
        <r>
          <rPr>
            <sz val="9"/>
            <color indexed="81"/>
            <rFont val="Tahoma"/>
            <charset val="1"/>
          </rPr>
          <t xml:space="preserve">
In dit deciel zitten hoofdzakelijk tweedebaners van huishoudens (gesteld op 80%) die ca 12600 ontvangen, de andere 20% bestaat uit minder-jarigen die € 1500 ontvangen.</t>
        </r>
      </text>
    </comment>
    <comment ref="D41" authorId="0" shapeId="0" xr:uid="{A99331F0-E3D5-46B2-B0E1-7325DA4E096A}">
      <text>
        <r>
          <rPr>
            <b/>
            <sz val="9"/>
            <color indexed="81"/>
            <rFont val="Tahoma"/>
            <charset val="1"/>
          </rPr>
          <t>wim van tilborg:</t>
        </r>
        <r>
          <rPr>
            <sz val="9"/>
            <color indexed="81"/>
            <rFont val="Tahoma"/>
            <charset val="1"/>
          </rPr>
          <t xml:space="preserve">
Hier zit een fout doordat de bijstandsuitkering wordt afgeschaft. Onmgeveer 30% van dit deciel ontving bijstand. Zij verliezen dus hun oude uitkering die vervangen wordt door het BI, maar via een speciaal compensatiefonds wordt dit aangevuld. De fout in de eindberekeningen van 30% van een deciel is 3% en dus beperkt.</t>
        </r>
      </text>
    </comment>
    <comment ref="A43" authorId="0" shapeId="0" xr:uid="{808600CE-1D60-45E0-9303-41AE1E3BD3C4}">
      <text>
        <r>
          <rPr>
            <b/>
            <sz val="9"/>
            <color indexed="81"/>
            <rFont val="Tahoma"/>
            <family val="2"/>
          </rPr>
          <t>wim van tilborg:</t>
        </r>
        <r>
          <rPr>
            <sz val="9"/>
            <color indexed="81"/>
            <rFont val="Tahoma"/>
            <family val="2"/>
          </rPr>
          <t xml:space="preserve">
Door het gelijktijdig wegvallen van een aantal sociale uitkeringen is er een fonds nodig om ingezetenen die diverse uitkering cumulatief ontvingen, te compenseren voor het verlies aan inkomen (B.v. bijstandtrekker met huurtoeslag en zorgtoeslag e.d.).
We stellen het benodigde bedrag op 15% van de totale besparing aan sociale uitkeringen</t>
        </r>
      </text>
    </comment>
    <comment ref="A48" authorId="0" shapeId="0" xr:uid="{3892925C-8E59-4690-97D7-827D4F42B41F}">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A50" authorId="0" shapeId="0" xr:uid="{5AB155D0-6922-4526-959A-3244362AF072}">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A53" authorId="0" shapeId="0" xr:uid="{2C863893-563A-4E8E-A838-F0BF9A6D768F}">
      <text>
        <r>
          <rPr>
            <b/>
            <sz val="9"/>
            <color indexed="81"/>
            <rFont val="Tahoma"/>
            <family val="2"/>
          </rPr>
          <t>wim van tilborg:</t>
        </r>
        <r>
          <rPr>
            <sz val="9"/>
            <color indexed="81"/>
            <rFont val="Tahoma"/>
            <family val="2"/>
          </rPr>
          <t xml:space="preserve">
&lt;20711=2711,
&gt;20711&lt;68507=2711-5,762% Belastbaar inkomen
&gt;68507=0</t>
        </r>
      </text>
    </comment>
    <comment ref="A56" authorId="0" shapeId="0" xr:uid="{E1FD9EF6-C6DB-402E-A5B5-A514AF9F194B}">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59" authorId="0" shapeId="0" xr:uid="{F211B9A2-2BA6-44BF-9E2D-22A0D615B27B}">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Omdat pensioen maximaal 70% van laatst verdiend inkomen (of middeninkomen) is, zouden er ook geen AOWers in deciel 10 en 9 vallen. Echter, gepensioneerden hebben vaak ook kapitaal-inkomen dat in het bruto-inkomen is opgenomen (Box 3). Daarom laten we voor gepensioneerden alleen deciel 9 vallen
We verdelen de AOW-trekkenden/gepensioneerden dus over de decielen 3 t/m 9.</t>
        </r>
      </text>
    </comment>
    <comment ref="A84" authorId="0" shapeId="0" xr:uid="{74230715-E13F-4699-8E72-A703931546AB}">
      <text>
        <r>
          <rPr>
            <b/>
            <sz val="9"/>
            <color indexed="81"/>
            <rFont val="Tahoma"/>
            <family val="2"/>
          </rPr>
          <t>wim van tilborg:</t>
        </r>
        <r>
          <rPr>
            <sz val="9"/>
            <color indexed="81"/>
            <rFont val="Tahoma"/>
            <family val="2"/>
          </rPr>
          <t xml:space="preserve">
Er zijn 3.121.070 AOW-gerechtigden (SVB, 2019). 
Deze vallen geen van allen in deciel 1, en nauwelijks in deciel 2. Immers AOW uitkering is 10932 gehuwden en 15935 alleenwonenden per jaar.
Aangezien pensioen maximaal 70% van laatst verdiend inkomen (of middeninkomen) is, vallen er ook geen AOWers in deciel 10 en 9.
We verdelen de AOW-trekkenden/gepensioneerden dus over de decielen 3-8.</t>
        </r>
      </text>
    </comment>
    <comment ref="A133" authorId="0" shapeId="0" xr:uid="{4B59AD4E-5737-4791-8B71-C1142B5698CD}">
      <text>
        <r>
          <rPr>
            <b/>
            <sz val="9"/>
            <color indexed="81"/>
            <rFont val="Tahoma"/>
            <charset val="1"/>
          </rPr>
          <t>wim van tilborg:</t>
        </r>
        <r>
          <rPr>
            <sz val="9"/>
            <color indexed="81"/>
            <rFont val="Tahoma"/>
            <charset val="1"/>
          </rPr>
          <t xml:space="preserve">
Van de besparingen, waarin de WW niet werd meegenomen, is een bedrag van 10 miljard afgetrokken om gratis kinderopvang te bekostigen
</t>
        </r>
      </text>
    </comment>
    <comment ref="N140" authorId="0" shapeId="0" xr:uid="{9C6D74E9-36D3-4C5D-B888-D8A93E8FFFA1}">
      <text>
        <r>
          <rPr>
            <b/>
            <sz val="9"/>
            <color indexed="81"/>
            <rFont val="Tahoma"/>
            <charset val="1"/>
          </rPr>
          <t>wim van tilborg:</t>
        </r>
        <r>
          <rPr>
            <sz val="9"/>
            <color indexed="81"/>
            <rFont val="Tahoma"/>
            <charset val="1"/>
          </rPr>
          <t xml:space="preserve">
Inkomen-offer van de 'rijken'dat stroomt naar de lagere inkomens.</t>
        </r>
      </text>
    </comment>
    <comment ref="O140" authorId="0" shapeId="0" xr:uid="{509802C1-9BF6-43ED-999F-F9C3EAA85525}">
      <text>
        <r>
          <rPr>
            <b/>
            <sz val="9"/>
            <color indexed="81"/>
            <rFont val="Tahoma"/>
            <family val="2"/>
          </rPr>
          <t>wim van tilborg:</t>
        </r>
        <r>
          <rPr>
            <sz val="9"/>
            <color indexed="81"/>
            <rFont val="Tahoma"/>
            <family val="2"/>
          </rPr>
          <t xml:space="preserve">
De totale inkomens-stijging tot en met het modale inkomen van de werkenden
</t>
        </r>
      </text>
    </comment>
    <comment ref="N141" authorId="0" shapeId="0" xr:uid="{2A7E503C-9CC5-4421-8FC6-6DE6AB69DBAE}">
      <text>
        <r>
          <rPr>
            <b/>
            <sz val="9"/>
            <color indexed="81"/>
            <rFont val="Tahoma"/>
            <family val="2"/>
          </rPr>
          <t>wim van tilborg:</t>
        </r>
        <r>
          <rPr>
            <sz val="9"/>
            <color indexed="81"/>
            <rFont val="Tahoma"/>
            <family val="2"/>
          </rPr>
          <t xml:space="preserve">
</t>
        </r>
      </text>
    </comment>
    <comment ref="O141" authorId="0" shapeId="0" xr:uid="{13DB01B2-C8EE-4B54-A1C2-2DA4912EDE17}">
      <text>
        <r>
          <rPr>
            <b/>
            <sz val="9"/>
            <color indexed="81"/>
            <rFont val="Tahoma"/>
            <family val="2"/>
          </rPr>
          <t>wim van tilborg:</t>
        </r>
        <r>
          <rPr>
            <sz val="9"/>
            <color indexed="81"/>
            <rFont val="Tahoma"/>
            <family val="2"/>
          </rPr>
          <t xml:space="preserve">
De totale inkomens-stijging tot en met het modale inkomen van de gepensioneerden</t>
        </r>
      </text>
    </comment>
    <comment ref="O142" authorId="0" shapeId="0" xr:uid="{63090153-145B-404D-A1B8-3F24F3BBF097}">
      <text>
        <r>
          <rPr>
            <b/>
            <sz val="9"/>
            <color indexed="81"/>
            <rFont val="Tahoma"/>
            <family val="2"/>
          </rPr>
          <t>wim van tilborg:</t>
        </r>
        <r>
          <rPr>
            <sz val="9"/>
            <color indexed="81"/>
            <rFont val="Tahoma"/>
            <family val="2"/>
          </rPr>
          <t xml:space="preserve">
De totale inkomens-stijging tot en met het modale inkomen van werkenden + gepensioneerden</t>
        </r>
      </text>
    </comment>
    <comment ref="A149" authorId="0" shapeId="0" xr:uid="{97C507DE-2460-4035-9AB3-BCC98D3ACA96}">
      <text>
        <r>
          <rPr>
            <b/>
            <sz val="9"/>
            <color indexed="81"/>
            <rFont val="Tahoma"/>
            <family val="2"/>
          </rPr>
          <t>wim van tilborg:</t>
        </r>
        <r>
          <rPr>
            <sz val="9"/>
            <color indexed="81"/>
            <rFont val="Tahoma"/>
            <family val="2"/>
          </rPr>
          <t xml:space="preserve">
IB volge
ns huidg tarief over inkomen+basisinkomen minus de thans geincasseerde IB</t>
        </r>
      </text>
    </comment>
    <comment ref="A151" authorId="0" shapeId="0" xr:uid="{A6E35532-055D-49E2-AA7B-33962106B8BF}">
      <text>
        <r>
          <rPr>
            <b/>
            <sz val="9"/>
            <color indexed="81"/>
            <rFont val="Tahoma"/>
            <family val="2"/>
          </rPr>
          <t>wim van tilborg:</t>
        </r>
        <r>
          <rPr>
            <sz val="9"/>
            <color indexed="81"/>
            <rFont val="Tahoma"/>
            <family val="2"/>
          </rPr>
          <t xml:space="preserve">
IB volgens de nieuwe tarieven geheven over inkomen + basisinkomen minus de thans geincasseerde IB</t>
        </r>
      </text>
    </comment>
    <comment ref="F170" authorId="0" shapeId="0" xr:uid="{51E8C702-0AF2-4A85-8B50-E3BF01C0631C}">
      <text>
        <r>
          <rPr>
            <b/>
            <sz val="9"/>
            <color indexed="81"/>
            <rFont val="Tahoma"/>
            <family val="2"/>
          </rPr>
          <t>wim van tilborg:</t>
        </r>
        <r>
          <rPr>
            <sz val="9"/>
            <color indexed="81"/>
            <rFont val="Tahoma"/>
            <family val="2"/>
          </rPr>
          <t xml:space="preserve">
Iemand die een arbeidsinkomen van nul heeft krijgt toch bijstandsuitkering ad € 12600 en is daarover belastingplichtig</t>
        </r>
      </text>
    </comment>
    <comment ref="F171" authorId="0" shapeId="0" xr:uid="{B45E7DA2-E152-42A0-AAB7-891787E9857F}">
      <text>
        <r>
          <rPr>
            <b/>
            <sz val="9"/>
            <color indexed="81"/>
            <rFont val="Tahoma"/>
            <family val="2"/>
          </rPr>
          <t>wim van tilborg:</t>
        </r>
        <r>
          <rPr>
            <sz val="9"/>
            <color indexed="81"/>
            <rFont val="Tahoma"/>
            <family val="2"/>
          </rPr>
          <t xml:space="preserve">
Iemand die een arbeidsinkomen van € 7400 heeft krijgt aanvulling vanuit bijstand tot minstens 12600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B4" authorId="0" shapeId="0" xr:uid="{6B7B5BB0-E8D4-4837-BE60-B4A13C9DB360}">
      <text>
        <r>
          <rPr>
            <b/>
            <sz val="9"/>
            <color indexed="81"/>
            <rFont val="Tahoma"/>
            <charset val="1"/>
          </rPr>
          <t>wim van tilborg:</t>
        </r>
        <r>
          <rPr>
            <sz val="9"/>
            <color indexed="81"/>
            <rFont val="Tahoma"/>
            <charset val="1"/>
          </rPr>
          <t xml:space="preserve">
De huishoudens zijn naar hoogte van hun inkomen in tien groepen (decielen) met gelijk aantal huishoudens verdeeld.</t>
        </r>
      </text>
    </comment>
    <comment ref="B6" authorId="0" shapeId="0" xr:uid="{B05A8812-0E40-4025-82B7-36113D68C3BA}">
      <text>
        <r>
          <rPr>
            <b/>
            <sz val="9"/>
            <color indexed="81"/>
            <rFont val="Tahoma"/>
            <charset val="1"/>
          </rPr>
          <t>wim van tilborg:</t>
        </r>
        <r>
          <rPr>
            <sz val="9"/>
            <color indexed="81"/>
            <rFont val="Tahoma"/>
            <charset val="1"/>
          </rPr>
          <t xml:space="preserve">
het persoonlijk bruto inkomen omvat inkomen uit arbeid, inkomen uit onderneming, uitkering inkomensverzekeringen en uitkeringen sociale voorzieningen (m.u.v. kinderbijslag en kindgebonden budget.
Aangegeven waarde: gemiddelde per deciel
</t>
        </r>
      </text>
    </comment>
    <comment ref="B7" authorId="0" shapeId="0" xr:uid="{8B23A796-13D4-4BA6-8661-63D1FE465CD0}">
      <text>
        <r>
          <rPr>
            <b/>
            <sz val="9"/>
            <color indexed="81"/>
            <rFont val="Tahoma"/>
            <charset val="1"/>
          </rPr>
          <t>wim van tilborg:</t>
        </r>
        <r>
          <rPr>
            <sz val="9"/>
            <color indexed="81"/>
            <rFont val="Tahoma"/>
            <charset val="1"/>
          </rPr>
          <t xml:space="preserve">
van 12600 tot 23225</t>
        </r>
      </text>
    </comment>
    <comment ref="B8" authorId="0" shapeId="0" xr:uid="{040507D2-E6CF-4DBF-9121-4D866EAFAA26}">
      <text>
        <r>
          <rPr>
            <b/>
            <sz val="9"/>
            <color indexed="81"/>
            <rFont val="Tahoma"/>
            <charset val="1"/>
          </rPr>
          <t>wim van tilborg:</t>
        </r>
        <r>
          <rPr>
            <sz val="9"/>
            <color indexed="81"/>
            <rFont val="Tahoma"/>
            <charset val="1"/>
          </rPr>
          <t xml:space="preserve">
van 12600 tot 30481
</t>
        </r>
      </text>
    </comment>
    <comment ref="B9" authorId="0" shapeId="0" xr:uid="{339A08DA-55C2-4623-99D0-1C61F6EB8D54}">
      <text>
        <r>
          <rPr>
            <b/>
            <sz val="9"/>
            <color indexed="81"/>
            <rFont val="Tahoma"/>
            <charset val="1"/>
          </rPr>
          <t>wim van tilborg:</t>
        </r>
        <r>
          <rPr>
            <sz val="9"/>
            <color indexed="81"/>
            <rFont val="Tahoma"/>
            <charset val="1"/>
          </rPr>
          <t xml:space="preserve">
Er zijn nog tal van inkomesnafhankelijke toeslagen, die echter zo sterk van de persoonlijke omstandigheden afhangen dat ze niet gemakkelijk kwantificeerbaar zijn.
Daarom slechts een PM post ingevoerd en deze gesteld op 5%
</t>
        </r>
      </text>
    </comment>
    <comment ref="B14" authorId="0" shapeId="0" xr:uid="{5EBCA58D-F467-433B-A2DC-DF757F1BF474}">
      <text>
        <r>
          <rPr>
            <b/>
            <sz val="9"/>
            <color indexed="81"/>
            <rFont val="Tahoma"/>
            <charset val="1"/>
          </rPr>
          <t>wim van tilborg:</t>
        </r>
        <r>
          <rPr>
            <sz val="9"/>
            <color indexed="81"/>
            <rFont val="Tahoma"/>
            <charset val="1"/>
          </rPr>
          <t xml:space="preserve">
Tarief 2021</t>
        </r>
      </text>
    </comment>
    <comment ref="B15" authorId="0" shapeId="0" xr:uid="{51B8F73F-90E1-4C13-B895-3AD8CE04040B}">
      <text>
        <r>
          <rPr>
            <b/>
            <sz val="9"/>
            <color indexed="81"/>
            <rFont val="Tahoma"/>
            <family val="2"/>
          </rPr>
          <t>wim van tilborg:</t>
        </r>
        <r>
          <rPr>
            <sz val="9"/>
            <color indexed="81"/>
            <rFont val="Tahoma"/>
            <family val="2"/>
          </rPr>
          <t xml:space="preserve">
&lt;20711=2711,
&gt;20711&lt;68507=2711-5,762% Belastbaar inkomen
&gt;68507=0</t>
        </r>
      </text>
    </comment>
    <comment ref="B20" authorId="0" shapeId="0" xr:uid="{60C71B02-92AD-4988-84FB-81390D37393B}">
      <text>
        <r>
          <rPr>
            <b/>
            <sz val="9"/>
            <color indexed="81"/>
            <rFont val="Tahoma"/>
            <family val="2"/>
          </rPr>
          <t>wim van tilborg:</t>
        </r>
        <r>
          <rPr>
            <sz val="9"/>
            <color indexed="81"/>
            <rFont val="Tahoma"/>
            <family val="2"/>
          </rPr>
          <t xml:space="preserve">
We houde geen rekening met persoons-specifieke heffingskortingen als jonggehandicaptenkorting, levensloopkorting, Alleenstaade ouderen korting.</t>
        </r>
      </text>
    </comment>
    <comment ref="A23" authorId="0" shapeId="0" xr:uid="{437843BB-72D4-4307-BF78-431D7D20FB4C}">
      <text>
        <r>
          <rPr>
            <b/>
            <sz val="9"/>
            <color indexed="81"/>
            <rFont val="Tahoma"/>
            <charset val="1"/>
          </rPr>
          <t>wim van tilborg:</t>
        </r>
        <r>
          <rPr>
            <sz val="9"/>
            <color indexed="81"/>
            <rFont val="Tahoma"/>
            <charset val="1"/>
          </rPr>
          <t xml:space="preserve">
Kansrijk Armoedebeleid
Variant 1
Tarieven:
lage schijf: 52,7%
hoge schijf: 70,4%
</t>
        </r>
      </text>
    </comment>
    <comment ref="A107" authorId="0" shapeId="0" xr:uid="{CE77EE0A-80BA-462C-86A5-04FA82CB1519}">
      <text>
        <r>
          <rPr>
            <b/>
            <sz val="9"/>
            <color indexed="81"/>
            <rFont val="Tahoma"/>
            <charset val="1"/>
          </rPr>
          <t>wim van tilborg:</t>
        </r>
        <r>
          <rPr>
            <sz val="9"/>
            <color indexed="81"/>
            <rFont val="Tahoma"/>
            <charset val="1"/>
          </rPr>
          <t xml:space="preserve">
Wij hebben ons afgevraagd of het verhoogde compensatiefonds niet leidt tot een bijdrage aan de marginale lasten. We hebben ervan afgezien dit door te berekenen omdat:
(1) nog niet vaststaat welke vorm het compensatiefonds krijgt
(2) het gaat om een relatief beperkte groep Er zijn zo'n 400.000 bijstanduitkeringstrekkers nu. Omdat de inkomens opgegeven door het CBS ook de uitkeringen omvatten, vallen die voor het overgrote deel in deciel 3. Een deciel bevat 1,35 miljoen inkomens. Van deciel 3 maken de bijstandstrekkers dus ca 30% uit. De overige 70% zal geen marginale lasteneffect ondervinden.
(3) we schaffen in BIDyn-light ongeveer 50% van de bijstanduitkering af. De verkleint het effect voor de bijstandsuitkeringstrekkers ook nog eens met een factor 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D7" authorId="0" shapeId="0" xr:uid="{8A66EE2A-E3F1-4F5F-A05E-C43FCF00EE99}">
      <text>
        <r>
          <rPr>
            <b/>
            <sz val="9"/>
            <color indexed="81"/>
            <rFont val="Tahoma"/>
            <family val="2"/>
          </rPr>
          <t>wim van tilborg:</t>
        </r>
        <r>
          <rPr>
            <sz val="9"/>
            <color indexed="81"/>
            <rFont val="Tahoma"/>
            <family val="2"/>
          </rPr>
          <t xml:space="preserve">
Schatting opbasis van:
lineair verband tussen min en max huurtoeslag en deel inkomens dat huurtoeslag ontvangt</t>
        </r>
      </text>
    </comment>
    <comment ref="B17" authorId="0" shapeId="0" xr:uid="{748B219F-8273-42F7-8D83-7FF90B088163}">
      <text>
        <r>
          <rPr>
            <b/>
            <sz val="9"/>
            <color indexed="81"/>
            <rFont val="Tahoma"/>
            <family val="2"/>
          </rPr>
          <t>wim van tilborg:</t>
        </r>
        <r>
          <rPr>
            <sz val="9"/>
            <color indexed="81"/>
            <rFont val="Tahoma"/>
            <family val="2"/>
          </rPr>
          <t xml:space="preserve">
huurtoeslag is (ruwweg) verdeeld over drie decielen want van 12600 tot 23225 als inkomen</t>
        </r>
      </text>
    </comment>
    <comment ref="B49" authorId="0" shapeId="0" xr:uid="{4E2C0CD3-EEE9-4DB2-B359-CE8D8EEE4B01}">
      <text>
        <r>
          <rPr>
            <b/>
            <sz val="9"/>
            <color indexed="81"/>
            <rFont val="Tahoma"/>
            <charset val="1"/>
          </rPr>
          <t>wim van tilborg:</t>
        </r>
        <r>
          <rPr>
            <sz val="9"/>
            <color indexed="81"/>
            <rFont val="Tahoma"/>
            <charset val="1"/>
          </rPr>
          <t xml:space="preserve">
Omvat 9 decielen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wim van tilborg</author>
  </authors>
  <commentList>
    <comment ref="G3" authorId="0" shapeId="0" xr:uid="{B35ACCBF-FBFC-46C1-BAA6-FAF202B09F08}">
      <text>
        <r>
          <rPr>
            <b/>
            <sz val="9"/>
            <color indexed="81"/>
            <rFont val="Tahoma"/>
            <family val="2"/>
          </rPr>
          <t>wim van tilborg:</t>
        </r>
        <r>
          <rPr>
            <sz val="9"/>
            <color indexed="81"/>
            <rFont val="Tahoma"/>
            <family val="2"/>
          </rPr>
          <t xml:space="preserve">
Pseudo-ArbeidsAanbodElastriciteit</t>
        </r>
      </text>
    </comment>
    <comment ref="T3" authorId="0" shapeId="0" xr:uid="{8069DC21-34ED-478F-B36F-6FB7C4197038}">
      <text>
        <r>
          <rPr>
            <b/>
            <sz val="9"/>
            <color indexed="81"/>
            <rFont val="Tahoma"/>
            <family val="2"/>
          </rPr>
          <t>wim van tilborg:</t>
        </r>
        <r>
          <rPr>
            <sz val="9"/>
            <color indexed="81"/>
            <rFont val="Tahoma"/>
            <family val="2"/>
          </rPr>
          <t xml:space="preserve">
Pseudo-ArbeidsAanbodElastriciteit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<sst xmlns="http://schemas.openxmlformats.org/spreadsheetml/2006/main" count="1265" uniqueCount="282">
  <si>
    <t>Basisinkomen</t>
  </si>
  <si>
    <t>Basisinkomen-uitkering</t>
  </si>
  <si>
    <t>Aantal</t>
  </si>
  <si>
    <t>Hoogte</t>
  </si>
  <si>
    <t>Uitvoeringskosten</t>
  </si>
  <si>
    <t>Totaal</t>
  </si>
  <si>
    <t>=</t>
  </si>
  <si>
    <t>Compensatiefonds</t>
  </si>
  <si>
    <t>Huurtoeslag</t>
  </si>
  <si>
    <t>Zorgtoeslag</t>
  </si>
  <si>
    <t>Kinderbijslag</t>
  </si>
  <si>
    <t>Kindgebonden budget</t>
  </si>
  <si>
    <t>Kinderopvangtoeslag</t>
  </si>
  <si>
    <t>Utvoering</t>
  </si>
  <si>
    <t>Uitkeringen</t>
  </si>
  <si>
    <t>COMPENSATIES</t>
  </si>
  <si>
    <t>Midden percentiel</t>
  </si>
  <si>
    <t>Boven AOW-grens (SVB 3,121,070 pers)</t>
  </si>
  <si>
    <t>Beneden AOW-grens (10,369,255 pers)</t>
  </si>
  <si>
    <t>Deciel</t>
  </si>
  <si>
    <t>IB werkenden (37,35%&lt;68507&lt;49,5%0</t>
  </si>
  <si>
    <t>Algemene Heffingskorting</t>
  </si>
  <si>
    <t>WERKENDEN</t>
  </si>
  <si>
    <t>Arbeidskorting</t>
  </si>
  <si>
    <t>Netto Belasting</t>
  </si>
  <si>
    <t>Besteedbaar inkomen</t>
  </si>
  <si>
    <t>Totaal aantal inkomens 13490325</t>
  </si>
  <si>
    <t>CBS 2019:</t>
  </si>
  <si>
    <t>Zelfstandigenaftrek</t>
  </si>
  <si>
    <t>Inkomstenbelasting na invoering Basisinkomen</t>
  </si>
  <si>
    <t>GEPENSONEERDEN/AOW-ers</t>
  </si>
  <si>
    <t>IB (tot 35376=19,45%,tot 68508=37,35%,daarboven 49,5%</t>
  </si>
  <si>
    <t>TOTAAL IB</t>
  </si>
  <si>
    <t>Besparing op WW-uitkeringen</t>
  </si>
  <si>
    <t>Inkomstenbelasting vóór invoering Basisinkomen</t>
  </si>
  <si>
    <t>Ouderenkorting</t>
  </si>
  <si>
    <t>Terug via IB</t>
  </si>
  <si>
    <t>INKOMENSVERSCHIL</t>
  </si>
  <si>
    <t>Werkenden</t>
  </si>
  <si>
    <t>Gepensioneerden</t>
  </si>
  <si>
    <t>BELASTINGVERSCHIL</t>
  </si>
  <si>
    <t>Totaal besparing op uitkeringen</t>
  </si>
  <si>
    <t>CONCLUSIE:</t>
  </si>
  <si>
    <t>Hoogste 2 decielen inkomen gaan er nog netto sterk op vooruit!!</t>
  </si>
  <si>
    <t>Reden om hogere IB tarieven aan te passen.</t>
  </si>
  <si>
    <t>Zij houden nog de helft van het basisloon netto over (&gt;6000)</t>
  </si>
  <si>
    <t>OPTIMALISATIEMODEL</t>
  </si>
  <si>
    <t>Variabelen</t>
  </si>
  <si>
    <t>Grensbedrag</t>
  </si>
  <si>
    <t>Heffingspercentage</t>
  </si>
  <si>
    <t>IB</t>
  </si>
  <si>
    <t>Heffingskorting</t>
  </si>
  <si>
    <t>Netto besteedbaar inkomen</t>
  </si>
  <si>
    <t>Totaal heffing</t>
  </si>
  <si>
    <t>Basisinkomen-kinderen</t>
  </si>
  <si>
    <t>Bijstandsuitkeringen</t>
  </si>
  <si>
    <t>Totaal kosten basisinkomen</t>
  </si>
  <si>
    <t>Totaal uitgaven</t>
  </si>
  <si>
    <t>Sociale uitkeringen die alleen nog als aanvulling hoeven te dienen:</t>
  </si>
  <si>
    <t>MKB-winstvrijstelling</t>
  </si>
  <si>
    <t>Belastbaar inkomen</t>
  </si>
  <si>
    <t>GEPENSIONEERDEN/AOW-ers</t>
  </si>
  <si>
    <t>Totaal IB</t>
  </si>
  <si>
    <t>Verschil inkomen Werkenden</t>
  </si>
  <si>
    <t>Persoonlijk bruto inkomen (CBS, 2018)</t>
  </si>
  <si>
    <t>Lineaire trendlijn</t>
  </si>
  <si>
    <t>IB-Bedrag op grens</t>
  </si>
  <si>
    <t>Verschil inkomen gepensioneerden</t>
  </si>
  <si>
    <t>Totaal effect invoering basisinkomen:</t>
  </si>
  <si>
    <t>Kosten</t>
  </si>
  <si>
    <t>Vermeden uitkeringen/toeslagen</t>
  </si>
  <si>
    <t>Meeropbrengst IB</t>
  </si>
  <si>
    <t>Netto kosten nationale begroting</t>
  </si>
  <si>
    <t>Miljard</t>
  </si>
  <si>
    <t>Aandeel rijkste tien procent</t>
  </si>
  <si>
    <t>Aandeel armste vijftig procent</t>
  </si>
  <si>
    <t>Bruto</t>
  </si>
  <si>
    <t>Sociale uitkeringen die kunnen vervallen</t>
  </si>
  <si>
    <t>Tabel 1</t>
  </si>
  <si>
    <t>Vóór invopering basisinkomen</t>
  </si>
  <si>
    <t>Besteedbaar inkomen gepensioneerden</t>
  </si>
  <si>
    <t>Ná invoering basisinkomen</t>
  </si>
  <si>
    <t>Besteedbaar inkomen werkenden</t>
  </si>
  <si>
    <t>4464-24</t>
  </si>
  <si>
    <t>1200-24</t>
  </si>
  <si>
    <t>886-1265</t>
  </si>
  <si>
    <t>14% van winst</t>
  </si>
  <si>
    <t>geen</t>
  </si>
  <si>
    <t>€</t>
  </si>
  <si>
    <t>Uitkering</t>
  </si>
  <si>
    <t>Loongrens</t>
  </si>
  <si>
    <t>Uitvoering</t>
  </si>
  <si>
    <t>miljoen</t>
  </si>
  <si>
    <t>€ miljoen</t>
  </si>
  <si>
    <t>€ miljard</t>
  </si>
  <si>
    <t>Fiscale verschuiving</t>
  </si>
  <si>
    <t>IB nu (zonder Basisinkomen)</t>
  </si>
  <si>
    <t>SOM</t>
  </si>
  <si>
    <t>ONGELIJKHEID</t>
  </si>
  <si>
    <t>Netto inkomen vóór invoering BI</t>
  </si>
  <si>
    <t>Netto inkomen ná invoering BI</t>
  </si>
  <si>
    <t>Netto inkomen ná invoering BI+nieuw IB</t>
  </si>
  <si>
    <t>Aandeel rijkste 10%</t>
  </si>
  <si>
    <t>Aandeel armste 50%</t>
  </si>
  <si>
    <t>VOORSTEL: volledig wegbelasten in deciel 9 en 10.  Ca 80% van de bevolking heeft dan voordeel van basisinkomen</t>
  </si>
  <si>
    <t>HTBI minus IB</t>
  </si>
  <si>
    <t>NTIB minus IB</t>
  </si>
  <si>
    <t xml:space="preserve">HTBI: IB vlgns huidig tarief mét Basisinkomen </t>
  </si>
  <si>
    <t xml:space="preserve">NTIB: IB nieuw tarieft met basisinkomen </t>
  </si>
  <si>
    <t>Effectieve belastingdruk</t>
  </si>
  <si>
    <t>Belastingdruk bij grensbedragen</t>
  </si>
  <si>
    <t>IB na invoering BI</t>
  </si>
  <si>
    <t>Belastingdruk na invoering BI</t>
  </si>
  <si>
    <t>Alg heffingskorting</t>
  </si>
  <si>
    <t>Netto IB vóór invoering BI</t>
  </si>
  <si>
    <t>Effectieve Belastingdruk vóór invoering IB</t>
  </si>
  <si>
    <t>Gerelateerd inkomen vóór invoering IB</t>
  </si>
  <si>
    <t>Grensbedrag na invoering BI</t>
  </si>
  <si>
    <t>Midden deciel + Basisinkomen</t>
  </si>
  <si>
    <t>Bruto inkomen werkenden</t>
  </si>
  <si>
    <t>Persoonlijk bruto inkomen (CBS 2018)</t>
  </si>
  <si>
    <t>Vóór invoering basisinkomen</t>
  </si>
  <si>
    <t>Ná invoering harmoniestelsel</t>
  </si>
  <si>
    <t>.</t>
  </si>
  <si>
    <t>Directe CBS-gegevens 2018</t>
  </si>
  <si>
    <t>Tabel 4</t>
  </si>
  <si>
    <t>Controle</t>
  </si>
  <si>
    <t>Verschuiving in inkomen</t>
  </si>
  <si>
    <t>Baten lagere inkomens</t>
  </si>
  <si>
    <t>Offer topinkomens</t>
  </si>
  <si>
    <t>&lt; modaal</t>
  </si>
  <si>
    <t>Belastingdruk</t>
  </si>
  <si>
    <t>Feitelijk inkomen</t>
  </si>
  <si>
    <t>Netto inkomen</t>
  </si>
  <si>
    <t>Netto Inkomen</t>
  </si>
  <si>
    <t>Gerelateerd Inkomen</t>
  </si>
  <si>
    <t>Vóór invoering harmoniestelsel</t>
  </si>
  <si>
    <t>Totale kosten Basisinkomen</t>
  </si>
  <si>
    <t>Meeropbrengst IB (Harmoniestelsel)</t>
  </si>
  <si>
    <t>Besparing uitkeringen</t>
  </si>
  <si>
    <t>EIDSALDERING</t>
  </si>
  <si>
    <t>Tabel 2</t>
  </si>
  <si>
    <t>Berekening pseudoi-elasticiteiten</t>
  </si>
  <si>
    <t>Bruto-inkomen</t>
  </si>
  <si>
    <t>Delta</t>
  </si>
  <si>
    <t>%</t>
  </si>
  <si>
    <t>Uren</t>
  </si>
  <si>
    <t>Inkomen</t>
  </si>
  <si>
    <t>Netto-inkomen</t>
  </si>
  <si>
    <t>PAAE</t>
  </si>
  <si>
    <t>Totaal aantal inkomens</t>
  </si>
  <si>
    <t>AONI Plus1</t>
  </si>
  <si>
    <t>AONI Plus2</t>
  </si>
  <si>
    <t>Marginale belasting</t>
  </si>
  <si>
    <t>IB werkenden (37,10%&lt;68508&lt;49,5%0</t>
  </si>
  <si>
    <t>MODEL:</t>
  </si>
  <si>
    <t>CPB-Nibud</t>
  </si>
  <si>
    <t>IB werkenden (52,7%&lt;68508&lt;70,4%)</t>
  </si>
  <si>
    <t>Midden deciel+Basisinkomen</t>
  </si>
  <si>
    <t>Huurtoeslag (lineaire schatting)</t>
  </si>
  <si>
    <t>Zorgtoeslag (lineaire schatting)</t>
  </si>
  <si>
    <t>Totale lasten</t>
  </si>
  <si>
    <t>Inkomen volgens CBS</t>
  </si>
  <si>
    <t>Lineaire schatting toeslagen</t>
  </si>
  <si>
    <t>Max</t>
  </si>
  <si>
    <t>Min</t>
  </si>
  <si>
    <t>inkomen</t>
  </si>
  <si>
    <t>CBS inkomensverdeling</t>
  </si>
  <si>
    <t>bijstandsuitkering</t>
  </si>
  <si>
    <t>bij inkomen:</t>
  </si>
  <si>
    <t>Aantal huurtoeslaguitk</t>
  </si>
  <si>
    <t>Aantal inkomens</t>
  </si>
  <si>
    <t>Factor</t>
  </si>
  <si>
    <t>aantal uikeringen</t>
  </si>
  <si>
    <t>Dynamisch Basisinkomen</t>
  </si>
  <si>
    <t>Laagste inkomen</t>
  </si>
  <si>
    <t>Afkapinkomen</t>
  </si>
  <si>
    <t>BI</t>
  </si>
  <si>
    <t>Dyn BI (afkappunt modaal)</t>
  </si>
  <si>
    <t>Kosten dyn IB</t>
  </si>
  <si>
    <t>Netto-INKOMENSVERSCHIL</t>
  </si>
  <si>
    <t>Midden deciel + Basisinkomen dyn</t>
  </si>
  <si>
    <t>Kinderopvang in algemene kosten</t>
  </si>
  <si>
    <t>NETTO BESPARING SOCIALE KOSTEN (zonder WW)</t>
  </si>
  <si>
    <t>Inkomstenbelasting na invoering Basisinkomen Dyn</t>
  </si>
  <si>
    <t>COMPENSATIES vervallen uitkeringen en toeslagen</t>
  </si>
  <si>
    <t>Meeropbrengst IB (Geoptimaliseerd)</t>
  </si>
  <si>
    <t>Totaal effect invoering basisinkomen Dyn:</t>
  </si>
  <si>
    <t>Inkomstenverlies toeslagen</t>
  </si>
  <si>
    <t>Marginale belasting, %</t>
  </si>
  <si>
    <t>IB op inkomen-verhoging</t>
  </si>
  <si>
    <t>Marginale belasting,%</t>
  </si>
  <si>
    <t>AONI</t>
  </si>
  <si>
    <t>BI-Dyn relatie</t>
  </si>
  <si>
    <t>Afname basisinkomen Dyn</t>
  </si>
  <si>
    <t>OVERZICHT</t>
  </si>
  <si>
    <t>Situatie NU</t>
  </si>
  <si>
    <t>Marginale IB op arbeidsinkomen</t>
  </si>
  <si>
    <t>Persoonlijk Inkomen NU</t>
  </si>
  <si>
    <t>Dynamisch Basisinkomen:</t>
  </si>
  <si>
    <r>
      <rPr>
        <b/>
        <sz val="11"/>
        <color theme="1"/>
        <rFont val="Calibri"/>
        <family val="2"/>
        <scheme val="minor"/>
      </rPr>
      <t>Kosten Basisinkomen</t>
    </r>
    <r>
      <rPr>
        <sz val="11"/>
        <color theme="1"/>
        <rFont val="Calibri"/>
        <family val="2"/>
        <scheme val="minor"/>
      </rPr>
      <t xml:space="preserve"> </t>
    </r>
    <r>
      <rPr>
        <sz val="11"/>
        <color theme="5" tint="0.39997558519241921"/>
        <rFont val="Calibri"/>
        <family val="2"/>
        <scheme val="minor"/>
      </rPr>
      <t>(vervallen voor Basisinkomen Dyn)</t>
    </r>
  </si>
  <si>
    <t>Totaal kosten Dyn Basisinkomen</t>
  </si>
  <si>
    <t>BI jongeren &lt; 21 jaar</t>
  </si>
  <si>
    <t>Trendlijn</t>
  </si>
  <si>
    <t>Na invoering basisinkomen</t>
  </si>
  <si>
    <t>Budgettair tekort</t>
  </si>
  <si>
    <t xml:space="preserve">RC grafiek </t>
  </si>
  <si>
    <t>Marginaal effect</t>
  </si>
  <si>
    <t>RC grafiek</t>
  </si>
  <si>
    <t>Andere inkomensafhankelijke toeslagen</t>
  </si>
  <si>
    <t>Totaal marginaal toeslageneffect</t>
  </si>
  <si>
    <t>Marginale belasting totaal</t>
  </si>
  <si>
    <t>Bi-Dyn BN</t>
  </si>
  <si>
    <t>BI-Dyn Budget Neutraal</t>
  </si>
  <si>
    <t>Richtingscoefficient</t>
  </si>
  <si>
    <t>Marginale lastentarieven t.b.v. de Werkgelegenheid schatting</t>
  </si>
  <si>
    <t>RC</t>
  </si>
  <si>
    <t>Dyn BI (afkappunt = C3)</t>
  </si>
  <si>
    <t>Netto Besparing uitkeringen</t>
  </si>
  <si>
    <t>BIDyn</t>
  </si>
  <si>
    <t>Marginale belasting totaal (IB arbeidsinkomen + Afname BIDyn)</t>
  </si>
  <si>
    <t>Schijf 1</t>
  </si>
  <si>
    <t>Schijf 4</t>
  </si>
  <si>
    <t>Schijf 5</t>
  </si>
  <si>
    <t>Schijf 2</t>
  </si>
  <si>
    <t>Schijf 3</t>
  </si>
  <si>
    <t>0-12.600</t>
  </si>
  <si>
    <t>Boven 65.000</t>
  </si>
  <si>
    <t>Inkomen van-tot</t>
  </si>
  <si>
    <t>Belasting</t>
  </si>
  <si>
    <t xml:space="preserve">NTIB: IB nieuw tarief met basisinkomen </t>
  </si>
  <si>
    <t>HTBI minus IB nu</t>
  </si>
  <si>
    <t>NTIB minus IB nu</t>
  </si>
  <si>
    <t>IB na invoering BI geoptimaliseerd</t>
  </si>
  <si>
    <t>Belastingdruk na invoering BIDyn</t>
  </si>
  <si>
    <t>Netto inkomen vóór invoering BIDyn</t>
  </si>
  <si>
    <t>Netto inkomen ná invoering BIDyn+geoptimaliseerde IB</t>
  </si>
  <si>
    <t>Asafsnede</t>
  </si>
  <si>
    <t>BIDyn light</t>
  </si>
  <si>
    <t>Afname basisinkomen Dyn-light</t>
  </si>
  <si>
    <t>Marginale lasten totaal</t>
  </si>
  <si>
    <t>Extra compensatiefonds BIDyn-light</t>
  </si>
  <si>
    <t>Kinderopvanggratis (in algemene kosten)</t>
  </si>
  <si>
    <t>Budgettair tekort: Aanvullen vanuit belasting op kapitaal/vermogen</t>
  </si>
  <si>
    <t>SAMENVATTING</t>
  </si>
  <si>
    <t>Belastingtarieven</t>
  </si>
  <si>
    <t>BIDyn-light</t>
  </si>
  <si>
    <t>Schijf</t>
  </si>
  <si>
    <t>Grenzen</t>
  </si>
  <si>
    <t>Marginale lasten</t>
  </si>
  <si>
    <t>Verandering Netto-inkomen</t>
  </si>
  <si>
    <t>Financiering</t>
  </si>
  <si>
    <t>Baten</t>
  </si>
  <si>
    <t>Opheffen toeslagen etc</t>
  </si>
  <si>
    <t>Extra Inkomenstenbelasting</t>
  </si>
  <si>
    <t>Gratis Kinderopvang</t>
  </si>
  <si>
    <t>Kosten, € miljard</t>
  </si>
  <si>
    <t>Belasting vermogenswinst</t>
  </si>
  <si>
    <t>Totaal baten</t>
  </si>
  <si>
    <t>Ongelijkheid</t>
  </si>
  <si>
    <t>Afschaffen hypotheekrenteaftrek</t>
  </si>
  <si>
    <t>Hypotheekrenteaftrek</t>
  </si>
  <si>
    <t>Dynamisch Basisinkomen-20</t>
  </si>
  <si>
    <t>Dynamisch Basisinkomen-40</t>
  </si>
  <si>
    <t>BIDyn-20</t>
  </si>
  <si>
    <t>IB op inkomenverhoging</t>
  </si>
  <si>
    <t>Afname Basisinkomen BIDyn-20</t>
  </si>
  <si>
    <t>BIDyn-40</t>
  </si>
  <si>
    <t>Afname basisinkomen BIDyn-40</t>
  </si>
  <si>
    <t>12.600-30000</t>
  </si>
  <si>
    <t>30,000-40,000</t>
  </si>
  <si>
    <t>40.000-65.000</t>
  </si>
  <si>
    <t>30.000-40.000</t>
  </si>
  <si>
    <t>12.600-25000</t>
  </si>
  <si>
    <t>25.000-37.000</t>
  </si>
  <si>
    <t>37.000-65.000</t>
  </si>
  <si>
    <t>12.600-35.000</t>
  </si>
  <si>
    <t>35.000-50.000</t>
  </si>
  <si>
    <t>50.000-65.000</t>
  </si>
  <si>
    <t>BIDyn-60</t>
  </si>
  <si>
    <t>BIDyn-0 (BIDyn-light)</t>
  </si>
  <si>
    <t>BIDyn-0 (light)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</si>
</sst>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E+00"/>
  </numFmts>
  <fonts count="31" x14ac:knownFonts="1">
    <font>
      <sz val="11"/>
      <color theme="1"/>
      <name val="Calibri"/>
      <family val="2"/>
      <scheme val="minor"/>
    </font>
    <font>
      <b/>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sz val="14"/>
      <color theme="1"/>
      <name val="Calibri"/>
      <family val="2"/>
      <scheme val="minor"/>
    </font>
    <font>
      <sz val="11"/>
      <color rgb="FFFF0000"/>
      <name val="Calibri"/>
      <family val="2"/>
      <scheme val="minor"/>
    </font>
    <font>
      <sz val="11"/>
      <color theme="4"/>
      <name val="Calibri"/>
      <family val="2"/>
      <scheme val="minor"/>
    </font>
    <font>
      <sz val="11"/>
      <name val="Calibri"/>
      <family val="2"/>
      <scheme val="minor"/>
    </font>
    <font>
      <sz val="11"/>
      <color theme="4" tint="-0.249977111117893"/>
      <name val="Calibri"/>
      <family val="2"/>
      <scheme val="minor"/>
    </font>
    <font>
      <i/>
      <sz val="11"/>
      <color theme="1"/>
      <name val="Calibri"/>
      <family val="2"/>
      <scheme val="minor"/>
    </font>
    <font>
      <b/>
      <sz val="11"/>
      <color theme="4" tint="-0.249977111117893"/>
      <name val="Calibri"/>
      <family val="2"/>
      <scheme val="minor"/>
    </font>
    <font>
      <b/>
      <sz val="11"/>
      <color theme="4"/>
      <name val="Calibri"/>
      <family val="2"/>
      <scheme val="minor"/>
    </font>
    <font>
      <i/>
      <sz val="11"/>
      <color theme="4" tint="-0.249977111117893"/>
      <name val="Calibri"/>
      <family val="2"/>
      <scheme val="minor"/>
    </font>
    <font>
      <i/>
      <sz val="11"/>
      <color theme="9" tint="-0.499984740745262"/>
      <name val="Calibri"/>
      <family val="2"/>
      <scheme val="minor"/>
    </font>
    <font>
      <sz val="11"/>
      <color theme="9" tint="-0.499984740745262"/>
      <name val="Calibri"/>
      <family val="2"/>
      <scheme val="minor"/>
    </font>
    <font>
      <i/>
      <sz val="11"/>
      <color theme="4"/>
      <name val="Calibri"/>
      <family val="2"/>
      <scheme val="minor"/>
    </font>
    <font>
      <i/>
      <sz val="11"/>
      <color rgb="FFC00000"/>
      <name val="Calibri"/>
      <family val="2"/>
      <scheme val="minor"/>
    </font>
    <font>
      <sz val="11"/>
      <color rgb="FFC00000"/>
      <name val="Calibri"/>
      <family val="2"/>
      <scheme val="minor"/>
    </font>
    <font>
      <b/>
      <sz val="11"/>
      <color rgb="FFFF0000"/>
      <name val="Calibri"/>
      <family val="2"/>
      <scheme val="minor"/>
    </font>
    <font>
      <sz val="11"/>
      <color rgb="FF0070C0"/>
      <name val="Calibri"/>
      <family val="2"/>
      <scheme val="minor"/>
    </font>
    <font>
      <sz val="11"/>
      <color theme="9" tint="-0.249977111117893"/>
      <name val="Calibri"/>
      <family val="2"/>
      <scheme val="minor"/>
    </font>
    <font>
      <sz val="11"/>
      <color theme="1"/>
      <name val="Calibri"/>
      <family val="2"/>
      <scheme val="minor"/>
    </font>
    <font>
      <sz val="11"/>
      <color theme="6" tint="-0.249977111117893"/>
      <name val="Calibri"/>
      <family val="2"/>
      <scheme val="minor"/>
    </font>
    <font>
      <sz val="11"/>
      <color theme="5" tint="0.39997558519241921"/>
      <name val="Calibri"/>
      <family val="2"/>
      <scheme val="minor"/>
    </font>
    <font>
      <sz val="11"/>
      <color theme="2" tint="-0.499984740745262"/>
      <name val="Calibri"/>
      <family val="2"/>
      <scheme val="minor"/>
    </font>
    <font>
      <sz val="8"/>
      <name val="Calibri"/>
      <family val="2"/>
      <scheme val="minor"/>
    </font>
    <font>
      <u/>
      <sz val="11"/>
      <color theme="1"/>
      <name val="Calibri"/>
      <family val="2"/>
      <scheme val="minor"/>
    </font>
    <font>
      <sz val="16"/>
      <color theme="1"/>
      <name val="Calibri"/>
      <family val="2"/>
      <scheme val="minor"/>
    </font>
  </fonts>
  <fills count="2">
    <fill>
      <patternFill patternType="none"/>
    </fill>
    <fill>
      <patternFill patternType="gray125"/>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9" fontId="24" fillId="0" borderId="0" applyFont="0" applyFill="0" applyBorder="0" applyAlignment="0" applyProtection="0"/>
  </cellStyleXfs>
  <cellXfs count="84">
    <xf numFmtId="0" fontId="0" fillId="0" borderId="0" xfId="0"/>
    <xf numFmtId="0" fontId="1" fillId="0" borderId="0" xfId="0" applyFont="1"/>
    <xf numFmtId="0" fontId="2" fillId="0" borderId="0" xfId="0" applyFont="1"/>
    <xf numFmtId="11" fontId="0" fillId="0" borderId="0" xfId="0" applyNumberFormat="1"/>
    <xf numFmtId="1" fontId="0" fillId="0" borderId="0" xfId="0" applyNumberFormat="1"/>
    <xf numFmtId="0" fontId="7" fillId="0" borderId="0" xfId="0" applyFont="1"/>
    <xf numFmtId="0" fontId="9" fillId="0" borderId="0" xfId="0" applyFont="1"/>
    <xf numFmtId="11" fontId="9" fillId="0" borderId="0" xfId="0" applyNumberFormat="1" applyFont="1"/>
    <xf numFmtId="0" fontId="8" fillId="0" borderId="0" xfId="0" applyFont="1"/>
    <xf numFmtId="0" fontId="10" fillId="0" borderId="0" xfId="0" applyFont="1"/>
    <xf numFmtId="10" fontId="0" fillId="0" borderId="0" xfId="0" applyNumberFormat="1"/>
    <xf numFmtId="9" fontId="0" fillId="0" borderId="0" xfId="0" applyNumberFormat="1"/>
    <xf numFmtId="11" fontId="11" fillId="0" borderId="0" xfId="0" applyNumberFormat="1" applyFont="1"/>
    <xf numFmtId="11" fontId="8" fillId="0" borderId="0" xfId="0" applyNumberFormat="1" applyFont="1"/>
    <xf numFmtId="0" fontId="11" fillId="0" borderId="0" xfId="0" applyFont="1"/>
    <xf numFmtId="0" fontId="0" fillId="0" borderId="0" xfId="0" quotePrefix="1"/>
    <xf numFmtId="164" fontId="0" fillId="0" borderId="0" xfId="0" applyNumberFormat="1"/>
    <xf numFmtId="0" fontId="12" fillId="0" borderId="0" xfId="0" applyFont="1"/>
    <xf numFmtId="2" fontId="0" fillId="0" borderId="0" xfId="0" applyNumberFormat="1"/>
    <xf numFmtId="0" fontId="0" fillId="0" borderId="0" xfId="0" applyAlignment="1">
      <alignment horizontal="right"/>
    </xf>
    <xf numFmtId="11" fontId="13" fillId="0" borderId="0" xfId="0" applyNumberFormat="1" applyFont="1"/>
    <xf numFmtId="0" fontId="13" fillId="0" borderId="0" xfId="0" applyFont="1"/>
    <xf numFmtId="11" fontId="14" fillId="0" borderId="0" xfId="0" applyNumberFormat="1" applyFont="1"/>
    <xf numFmtId="165" fontId="0" fillId="0" borderId="0" xfId="0" applyNumberFormat="1"/>
    <xf numFmtId="10" fontId="12" fillId="0" borderId="0" xfId="0" applyNumberFormat="1" applyFont="1"/>
    <xf numFmtId="165" fontId="12" fillId="0" borderId="0" xfId="0" applyNumberFormat="1" applyFont="1"/>
    <xf numFmtId="0" fontId="15" fillId="0" borderId="0" xfId="0" applyFont="1"/>
    <xf numFmtId="1" fontId="11" fillId="0" borderId="0" xfId="0" applyNumberFormat="1" applyFont="1"/>
    <xf numFmtId="0" fontId="16" fillId="0" borderId="0" xfId="0" applyFont="1"/>
    <xf numFmtId="0" fontId="17" fillId="0" borderId="0" xfId="0" applyFont="1"/>
    <xf numFmtId="1" fontId="17" fillId="0" borderId="0" xfId="0" applyNumberFormat="1" applyFont="1"/>
    <xf numFmtId="0" fontId="18" fillId="0" borderId="0" xfId="0" applyFont="1"/>
    <xf numFmtId="1" fontId="9" fillId="0" borderId="0" xfId="0" applyNumberFormat="1" applyFont="1"/>
    <xf numFmtId="0" fontId="19" fillId="0" borderId="0" xfId="0" applyFont="1"/>
    <xf numFmtId="0" fontId="20" fillId="0" borderId="0" xfId="0" applyFont="1"/>
    <xf numFmtId="1" fontId="20" fillId="0" borderId="0" xfId="0" applyNumberFormat="1" applyFont="1"/>
    <xf numFmtId="1" fontId="10" fillId="0" borderId="0" xfId="0" applyNumberFormat="1" applyFont="1"/>
    <xf numFmtId="0" fontId="0" fillId="0" borderId="0" xfId="0" applyFont="1"/>
    <xf numFmtId="165" fontId="0" fillId="0" borderId="0" xfId="0" applyNumberFormat="1" applyFont="1"/>
    <xf numFmtId="1" fontId="0" fillId="0" borderId="0" xfId="0" applyNumberFormat="1" applyFont="1"/>
    <xf numFmtId="11" fontId="21" fillId="0" borderId="0" xfId="0" applyNumberFormat="1" applyFont="1"/>
    <xf numFmtId="0" fontId="21" fillId="0" borderId="0" xfId="0" applyFont="1"/>
    <xf numFmtId="1" fontId="8" fillId="0" borderId="0" xfId="0" applyNumberFormat="1" applyFont="1"/>
    <xf numFmtId="0" fontId="22" fillId="0" borderId="0" xfId="0" applyFont="1"/>
    <xf numFmtId="1" fontId="22" fillId="0" borderId="0" xfId="0" applyNumberFormat="1" applyFont="1"/>
    <xf numFmtId="11" fontId="22" fillId="0" borderId="0" xfId="0" applyNumberFormat="1"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4" xfId="0" applyFont="1" applyBorder="1"/>
    <xf numFmtId="165" fontId="0" fillId="0" borderId="0" xfId="0" applyNumberFormat="1" applyFont="1" applyBorder="1"/>
    <xf numFmtId="1" fontId="0" fillId="0" borderId="5" xfId="0" applyNumberFormat="1" applyFont="1" applyBorder="1"/>
    <xf numFmtId="0" fontId="0" fillId="0" borderId="6" xfId="0" applyFont="1" applyBorder="1"/>
    <xf numFmtId="165" fontId="0" fillId="0" borderId="7" xfId="0" applyNumberFormat="1" applyFont="1" applyBorder="1"/>
    <xf numFmtId="1" fontId="0" fillId="0" borderId="8" xfId="0" applyNumberFormat="1" applyFont="1" applyBorder="1"/>
    <xf numFmtId="1" fontId="23" fillId="0" borderId="0" xfId="0" applyNumberFormat="1" applyFont="1"/>
    <xf numFmtId="0" fontId="0" fillId="0" borderId="6" xfId="0" applyBorder="1"/>
    <xf numFmtId="9" fontId="0" fillId="0" borderId="0" xfId="1" applyFont="1"/>
    <xf numFmtId="0" fontId="25" fillId="0" borderId="0" xfId="0" applyFont="1"/>
    <xf numFmtId="11" fontId="25" fillId="0" borderId="0" xfId="0" applyNumberFormat="1" applyFont="1"/>
    <xf numFmtId="0" fontId="27" fillId="0" borderId="0" xfId="0" applyFont="1"/>
    <xf numFmtId="1" fontId="27" fillId="0" borderId="0" xfId="0" applyNumberFormat="1" applyFont="1"/>
    <xf numFmtId="164" fontId="10" fillId="0" borderId="0" xfId="0" applyNumberFormat="1" applyFont="1"/>
    <xf numFmtId="166" fontId="0" fillId="0" borderId="0" xfId="0" applyNumberFormat="1"/>
    <xf numFmtId="0" fontId="0" fillId="0" borderId="0" xfId="0" applyFill="1" applyBorder="1"/>
    <xf numFmtId="167" fontId="0" fillId="0" borderId="0" xfId="0" applyNumberFormat="1"/>
    <xf numFmtId="0" fontId="11" fillId="0" borderId="9" xfId="0" applyFont="1" applyBorder="1"/>
    <xf numFmtId="0" fontId="11" fillId="0" borderId="10" xfId="0" applyFont="1" applyBorder="1"/>
    <xf numFmtId="9" fontId="11" fillId="0" borderId="11" xfId="0" applyNumberFormat="1" applyFont="1" applyBorder="1"/>
    <xf numFmtId="0" fontId="11" fillId="0" borderId="12" xfId="0" applyFont="1" applyBorder="1"/>
    <xf numFmtId="0" fontId="11" fillId="0" borderId="13" xfId="0" applyFont="1" applyBorder="1"/>
    <xf numFmtId="9" fontId="11" fillId="0" borderId="14" xfId="0" applyNumberFormat="1" applyFont="1" applyBorder="1"/>
    <xf numFmtId="0" fontId="11" fillId="0" borderId="15" xfId="0" applyFont="1" applyBorder="1"/>
    <xf numFmtId="0" fontId="11" fillId="0" borderId="16" xfId="0" applyFont="1" applyBorder="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1" fontId="0" fillId="0" borderId="0" xfId="1" applyNumberFormat="1" applyFont="1"/>
    <xf numFmtId="0" fontId="29" fillId="0" borderId="0" xfId="0" applyFont="1"/>
    <xf numFmtId="0" fontId="30" fillId="0" borderId="0" xfId="0" applyFo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en-US" sz="1600"/>
              <a:t>Persoonlijk inkomen 2018, gemiddeld per deciel</a:t>
            </a:r>
          </a:p>
        </c:rich>
      </c:tx>
      <c:layout>
        <c:manualLayout>
          <c:xMode val="edge"/>
          <c:yMode val="edge"/>
          <c:x val="0.19668580387840418"/>
          <c:y val="2.31046878865941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n-US"/>
        </a:p>
      </c:txPr>
    </c:title>
    <c:autoTitleDeleted val="0"/>
    <c:plotArea>
      <c:layout>
        <c:manualLayout>
          <c:layoutTarget val="inner"/>
          <c:xMode val="edge"/>
          <c:yMode val="edge"/>
          <c:x val="0.20113648293963254"/>
          <c:y val="0.12344880677444188"/>
          <c:w val="0.66507086614173228"/>
          <c:h val="0.73982045546847064"/>
        </c:manualLayout>
      </c:layout>
      <c:lineChart>
        <c:grouping val="standard"/>
        <c:varyColors val="0"/>
        <c:ser>
          <c:idx val="0"/>
          <c:order val="0"/>
          <c:tx>
            <c:v>Bruto Inkomen</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9"/>
            <c:marker>
              <c:symbol val="circle"/>
              <c:size val="5"/>
              <c:spPr>
                <a:solidFill>
                  <a:schemeClr val="accent1"/>
                </a:solidFill>
                <a:ln w="9525">
                  <a:solidFill>
                    <a:schemeClr val="accent1"/>
                  </a:solidFill>
                </a:ln>
                <a:effectLst/>
              </c:spPr>
            </c:marker>
            <c:bubble3D val="0"/>
            <c:spPr>
              <a:ln w="28575" cap="rnd">
                <a:solidFill>
                  <a:schemeClr val="accent1"/>
                </a:solidFill>
                <a:round/>
              </a:ln>
              <a:effectLst/>
            </c:spPr>
            <c:extLst>
              <c:ext xmlns:c16="http://schemas.microsoft.com/office/drawing/2014/chart" uri="{C3380CC4-5D6E-409C-BE32-E72D297353CC}">
                <c16:uniqueId val="{00000001-706A-4296-B68C-B4DC4369269D}"/>
              </c:ext>
            </c:extLst>
          </c:dPt>
          <c:cat>
            <c:numRef>
              <c:f>AONI!$B$33:$K$33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AONI!$B$35:$K$35</c:f>
              <c:numCache>
                <c:formatCode>0</c:formatCode>
                <c:ptCount val="10"/>
                <c:pt idx="0">
                  <c:v>2400</c:v>
                </c:pt>
                <c:pt idx="1">
                  <c:v>9500</c:v>
                </c:pt>
                <c:pt idx="2">
                  <c:v>14400</c:v>
                </c:pt>
                <c:pt idx="3">
                  <c:v>18700</c:v>
                </c:pt>
                <c:pt idx="4">
                  <c:v>24700</c:v>
                </c:pt>
                <c:pt idx="5">
                  <c:v>31600</c:v>
                </c:pt>
                <c:pt idx="6">
                  <c:v>39900</c:v>
                </c:pt>
                <c:pt idx="7">
                  <c:v>49700</c:v>
                </c:pt>
                <c:pt idx="8">
                  <c:v>64500</c:v>
                </c:pt>
                <c:pt idx="9">
                  <c:v>113800</c:v>
                </c:pt>
              </c:numCache>
            </c:numRef>
          </c:val>
          <c:smooth val="0"/>
          <c:extLst>
            <c:ext xmlns:c16="http://schemas.microsoft.com/office/drawing/2014/chart" uri="{C3380CC4-5D6E-409C-BE32-E72D297353CC}">
              <c16:uniqueId val="{00000002-706A-4296-B68C-B4DC4369269D}"/>
            </c:ext>
          </c:extLst>
        </c:ser>
        <c:ser>
          <c:idx val="1"/>
          <c:order val="1"/>
          <c:tx>
            <c:v>Netto Inkomen</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AONI!$B$33:$K$33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AONI!$B$41:$K$41</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3-706A-4296-B68C-B4DC4369269D}"/>
            </c:ext>
          </c:extLst>
        </c:ser>
        <c:ser>
          <c:idx val="2"/>
          <c:order val="2"/>
          <c:tx>
            <c:v>Trendlijn</c:v>
          </c:tx>
          <c:spPr>
            <a:ln w="19050" cap="rnd">
              <a:noFill/>
              <a:round/>
            </a:ln>
            <a:effectLst/>
          </c:spPr>
          <c:marker>
            <c:symbol val="circle"/>
            <c:size val="5"/>
            <c:spPr>
              <a:noFill/>
              <a:ln w="9525">
                <a:noFill/>
              </a:ln>
              <a:effectLst/>
            </c:spPr>
          </c:marker>
          <c:trendline>
            <c:spPr>
              <a:ln w="38100" cap="rnd">
                <a:solidFill>
                  <a:schemeClr val="accent6">
                    <a:lumMod val="50000"/>
                  </a:schemeClr>
                </a:solidFill>
                <a:prstDash val="sysDot"/>
              </a:ln>
              <a:effectLst/>
            </c:spPr>
            <c:trendlineType val="linear"/>
            <c:forward val="0.5"/>
            <c:backward val="0.5"/>
            <c:dispRSqr val="1"/>
            <c:dispEq val="1"/>
            <c:trendlineLbl>
              <c:layout>
                <c:manualLayout>
                  <c:x val="0.12701008068655428"/>
                  <c:y val="9.639737486363310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trendlineLbl>
          </c:trendline>
          <c:val>
            <c:numRef>
              <c:f>AONI!$B$42:$K$42</c:f>
              <c:numCache>
                <c:formatCode>0</c:formatCode>
                <c:ptCount val="10"/>
                <c:pt idx="1">
                  <c:v>8929.89</c:v>
                </c:pt>
                <c:pt idx="2">
                  <c:v>13302.089480000001</c:v>
                </c:pt>
                <c:pt idx="3">
                  <c:v>17234.955480000001</c:v>
                </c:pt>
                <c:pt idx="4">
                  <c:v>21608.44512</c:v>
                </c:pt>
                <c:pt idx="5">
                  <c:v>25654.19112</c:v>
                </c:pt>
                <c:pt idx="6">
                  <c:v>30142.189920000001</c:v>
                </c:pt>
                <c:pt idx="7">
                  <c:v>35138.033920000002</c:v>
                </c:pt>
              </c:numCache>
            </c:numRef>
          </c:val>
          <c:smooth val="0"/>
          <c:extLst>
            <c:ext xmlns:c16="http://schemas.microsoft.com/office/drawing/2014/chart" uri="{C3380CC4-5D6E-409C-BE32-E72D297353CC}">
              <c16:uniqueId val="{00000005-706A-4296-B68C-B4DC4369269D}"/>
            </c:ext>
          </c:extLst>
        </c:ser>
        <c:dLbls>
          <c:showLegendKey val="0"/>
          <c:showVal val="0"/>
          <c:showCatName val="0"/>
          <c:showSerName val="0"/>
          <c:showPercent val="0"/>
          <c:showBubbleSize val="0"/>
        </c:dLbls>
        <c:marker val="1"/>
        <c:smooth val="0"/>
        <c:axId val="489175464"/>
        <c:axId val="489175136"/>
      </c:lineChart>
      <c:catAx>
        <c:axId val="4891754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r>
                  <a:rPr lang="nl-NL"/>
                  <a:t>Deciel, (verdeeld in 10 groepen met gelijk aantal personen)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489175136"/>
        <c:crosses val="autoZero"/>
        <c:auto val="1"/>
        <c:lblAlgn val="ctr"/>
        <c:lblOffset val="100"/>
        <c:tickMarkSkip val="1"/>
        <c:noMultiLvlLbl val="1"/>
      </c:catAx>
      <c:valAx>
        <c:axId val="489175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95000"/>
                        <a:lumOff val="5000"/>
                      </a:schemeClr>
                    </a:solidFill>
                    <a:latin typeface="+mn-lt"/>
                    <a:ea typeface="+mn-ea"/>
                    <a:cs typeface="+mn-cs"/>
                  </a:defRPr>
                </a:pPr>
                <a:r>
                  <a:rPr lang="en-US" sz="1400"/>
                  <a:t>Euro</a:t>
                </a:r>
              </a:p>
            </c:rich>
          </c:tx>
          <c:layout>
            <c:manualLayout>
              <c:xMode val="edge"/>
              <c:yMode val="edge"/>
              <c:x val="3.5506603903867985E-2"/>
              <c:y val="2.486786059080081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489175464"/>
        <c:crossesAt val="1"/>
        <c:crossBetween val="between"/>
      </c:valAx>
      <c:spPr>
        <a:noFill/>
        <a:ln>
          <a:noFill/>
        </a:ln>
        <a:effectLst/>
      </c:spPr>
    </c:plotArea>
    <c:legend>
      <c:legendPos val="r"/>
      <c:legendEntry>
        <c:idx val="2"/>
        <c:delete val="1"/>
      </c:legendEntry>
      <c:layout>
        <c:manualLayout>
          <c:xMode val="edge"/>
          <c:yMode val="edge"/>
          <c:x val="0.29798502256062154"/>
          <c:y val="0.20196013865238419"/>
          <c:w val="0.2660888578643727"/>
          <c:h val="0.1943496874859250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4C58-4AC5-93FD-D8D5D3E727ED}"/>
            </c:ext>
          </c:extLst>
        </c:ser>
        <c:ser>
          <c:idx val="1"/>
          <c:order val="1"/>
          <c:tx>
            <c:v>Nú, vóór invoering BI</c:v>
          </c:tx>
          <c:spPr>
            <a:ln w="19050" cap="rnd">
              <a:solidFill>
                <a:schemeClr val="bg2">
                  <a:lumMod val="25000"/>
                </a:schemeClr>
              </a:solidFill>
              <a:round/>
            </a:ln>
            <a:effectLst/>
          </c:spPr>
          <c:marker>
            <c:symbol val="circle"/>
            <c:size val="5"/>
            <c:spPr>
              <a:solidFill>
                <a:schemeClr val="bg2">
                  <a:lumMod val="50000"/>
                </a:schemeClr>
              </a:solidFill>
              <a:ln w="12700">
                <a:solidFill>
                  <a:schemeClr val="bg2">
                    <a:lumMod val="50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4C58-4AC5-93FD-D8D5D3E727ED}"/>
            </c:ext>
          </c:extLst>
        </c:ser>
        <c:ser>
          <c:idx val="2"/>
          <c:order val="2"/>
          <c:tx>
            <c:v>BIDyn-light</c:v>
          </c:tx>
          <c:spPr>
            <a:ln w="19050" cap="rnd">
              <a:solidFill>
                <a:schemeClr val="accent3"/>
              </a:solidFill>
              <a:round/>
            </a:ln>
            <a:effectLst/>
          </c:spPr>
          <c:marker>
            <c:symbol val="circle"/>
            <c:size val="5"/>
            <c:spPr>
              <a:solidFill>
                <a:schemeClr val="accent3"/>
              </a:solidFill>
              <a:ln w="9525">
                <a:solidFill>
                  <a:schemeClr val="accent3"/>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4C58-4AC5-93FD-D8D5D3E727ED}"/>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2270078740157480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t>Marginale lasten</a:t>
            </a:r>
          </a:p>
          <a:p>
            <a:pPr>
              <a:defRPr/>
            </a:pPr>
            <a:r>
              <a:rPr lang="nl-NL" sz="1600"/>
              <a:t>(Uit IB en</a:t>
            </a:r>
            <a:r>
              <a:rPr lang="nl-NL" sz="1600" baseline="0"/>
              <a:t> afname BIDyn)</a:t>
            </a:r>
            <a:endParaRPr lang="nl-NL"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914260717410336E-2"/>
          <c:y val="0.21289389771835521"/>
          <c:w val="0.8655433070866142"/>
          <c:h val="0.62287640671121081"/>
        </c:manualLayout>
      </c:layout>
      <c:lineChart>
        <c:grouping val="standard"/>
        <c:varyColors val="0"/>
        <c:ser>
          <c:idx val="0"/>
          <c:order val="0"/>
          <c:tx>
            <c:strRef>
              <c:f>'Marginale lasten'!$B$148</c:f>
              <c:strCache>
                <c:ptCount val="1"/>
                <c:pt idx="0">
                  <c:v>CPB-Nibud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0-B109-4F20-A900-FFF4D0931706}"/>
            </c:ext>
          </c:extLst>
        </c:ser>
        <c:ser>
          <c:idx val="1"/>
          <c:order val="1"/>
          <c:tx>
            <c:strRef>
              <c:f>'Marginale lasten'!$B$151</c:f>
              <c:strCache>
                <c:ptCount val="1"/>
                <c:pt idx="0">
                  <c:v>BIDyn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1-B109-4F20-A900-FFF4D0931706}"/>
            </c:ext>
          </c:extLst>
        </c:ser>
        <c:ser>
          <c:idx val="2"/>
          <c:order val="2"/>
          <c:tx>
            <c:strRef>
              <c:f>'Marginale lasten'!$B$150</c:f>
              <c:strCache>
                <c:ptCount val="1"/>
                <c:pt idx="0">
                  <c:v>Situatie NU</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2-B109-4F20-A900-FFF4D0931706}"/>
            </c:ext>
          </c:extLst>
        </c:ser>
        <c:ser>
          <c:idx val="3"/>
          <c:order val="3"/>
          <c:tx>
            <c:strRef>
              <c:f>'Marginale lasten'!$B$154</c:f>
              <c:strCache>
                <c:ptCount val="1"/>
                <c:pt idx="0">
                  <c:v>BIDyn-0 (light)</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3-B109-4F20-A900-FFF4D0931706}"/>
            </c:ext>
          </c:extLst>
        </c:ser>
        <c:dLbls>
          <c:showLegendKey val="0"/>
          <c:showVal val="0"/>
          <c:showCatName val="0"/>
          <c:showSerName val="0"/>
          <c:showPercent val="0"/>
          <c:showBubbleSize val="0"/>
        </c:dLbls>
        <c:marker val="1"/>
        <c:smooth val="0"/>
        <c:axId val="537035840"/>
        <c:axId val="537036496"/>
      </c:lineChart>
      <c:catAx>
        <c:axId val="537035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34783158355205596"/>
              <c:y val="0.90007718582210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6496"/>
        <c:crosses val="autoZero"/>
        <c:auto val="1"/>
        <c:lblAlgn val="ctr"/>
        <c:lblOffset val="100"/>
        <c:tickMarkSkip val="1"/>
        <c:noMultiLvlLbl val="0"/>
      </c:catAx>
      <c:valAx>
        <c:axId val="5370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2.2222222222222223E-2"/>
              <c:y val="4.4315828078490965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5840"/>
        <c:crosses val="autoZero"/>
        <c:crossBetween val="between"/>
      </c:valAx>
      <c:spPr>
        <a:noFill/>
        <a:ln>
          <a:noFill/>
        </a:ln>
        <a:effectLst/>
      </c:spPr>
    </c:plotArea>
    <c:legend>
      <c:legendPos val="r"/>
      <c:layout>
        <c:manualLayout>
          <c:xMode val="edge"/>
          <c:yMode val="edge"/>
          <c:x val="0.64601312335958005"/>
          <c:y val="0.54933020745070205"/>
          <c:w val="0.22401465441819776"/>
          <c:h val="0.300711790717208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 BIDyn-bundel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'Marginale lasten'!$B$153</c:f>
              <c:strCache>
                <c:ptCount val="1"/>
                <c:pt idx="0">
                  <c:v>BIDyn-20</c:v>
                </c:pt>
              </c:strCache>
            </c:strRef>
          </c:tx>
          <c:spPr>
            <a:ln w="28575" cap="rnd">
              <a:solidFill>
                <a:srgbClr val="7030A0"/>
              </a:solidFill>
              <a:round/>
            </a:ln>
            <a:effectLst/>
          </c:spPr>
          <c:marker>
            <c:symbol val="circle"/>
            <c:size val="5"/>
            <c:spPr>
              <a:solidFill>
                <a:srgbClr val="7030A0"/>
              </a:solidFill>
              <a:ln w="9525">
                <a:solidFill>
                  <a:schemeClr val="accent1"/>
                </a:solidFill>
              </a:ln>
              <a:effectLst/>
            </c:spPr>
          </c:marker>
          <c:val>
            <c:numRef>
              <c:f>'Marginale lasten'!$C$153:$L$153</c:f>
              <c:numCache>
                <c:formatCode>0</c:formatCode>
                <c:ptCount val="10"/>
                <c:pt idx="0">
                  <c:v>5.6666666666666661</c:v>
                </c:pt>
                <c:pt idx="1">
                  <c:v>37.666666666666664</c:v>
                </c:pt>
                <c:pt idx="2">
                  <c:v>37.666666666666664</c:v>
                </c:pt>
                <c:pt idx="3">
                  <c:v>37.666666666666664</c:v>
                </c:pt>
                <c:pt idx="4">
                  <c:v>47.666666666666664</c:v>
                </c:pt>
                <c:pt idx="5">
                  <c:v>47.666666666666664</c:v>
                </c:pt>
                <c:pt idx="6">
                  <c:v>57.666666666666664</c:v>
                </c:pt>
                <c:pt idx="7">
                  <c:v>57.666666666666664</c:v>
                </c:pt>
                <c:pt idx="8">
                  <c:v>67.666666666666671</c:v>
                </c:pt>
                <c:pt idx="9">
                  <c:v>67.666666666666671</c:v>
                </c:pt>
              </c:numCache>
            </c:numRef>
          </c:val>
          <c:smooth val="0"/>
          <c:extLst>
            <c:ext xmlns:c16="http://schemas.microsoft.com/office/drawing/2014/chart" uri="{C3380CC4-5D6E-409C-BE32-E72D297353CC}">
              <c16:uniqueId val="{00000000-8453-416D-81E8-C1F5B60E67CC}"/>
            </c:ext>
          </c:extLst>
        </c:ser>
        <c:ser>
          <c:idx val="1"/>
          <c:order val="1"/>
          <c:tx>
            <c:strRef>
              <c:f>'Marginale lasten'!$B$152</c:f>
              <c:strCache>
                <c:ptCount val="1"/>
                <c:pt idx="0">
                  <c:v>BIDyn-40</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'Marginale lasten'!$C$152:$L$152</c:f>
              <c:numCache>
                <c:formatCode>0</c:formatCode>
                <c:ptCount val="10"/>
                <c:pt idx="0">
                  <c:v>7.333333333333333</c:v>
                </c:pt>
                <c:pt idx="1">
                  <c:v>37.333333333333336</c:v>
                </c:pt>
                <c:pt idx="2">
                  <c:v>37.333333333333336</c:v>
                </c:pt>
                <c:pt idx="3">
                  <c:v>37.333333333333336</c:v>
                </c:pt>
                <c:pt idx="4">
                  <c:v>47.333333333333336</c:v>
                </c:pt>
                <c:pt idx="5">
                  <c:v>47.333333333333336</c:v>
                </c:pt>
                <c:pt idx="6">
                  <c:v>57.333333333333336</c:v>
                </c:pt>
                <c:pt idx="7">
                  <c:v>57.333333333333336</c:v>
                </c:pt>
                <c:pt idx="8">
                  <c:v>67.333333333333329</c:v>
                </c:pt>
                <c:pt idx="9">
                  <c:v>67.333333333333329</c:v>
                </c:pt>
              </c:numCache>
            </c:numRef>
          </c:val>
          <c:smooth val="0"/>
          <c:extLst>
            <c:ext xmlns:c16="http://schemas.microsoft.com/office/drawing/2014/chart" uri="{C3380CC4-5D6E-409C-BE32-E72D297353CC}">
              <c16:uniqueId val="{00000001-8453-416D-81E8-C1F5B60E67CC}"/>
            </c:ext>
          </c:extLst>
        </c:ser>
        <c:ser>
          <c:idx val="2"/>
          <c:order val="2"/>
          <c:tx>
            <c:strRef>
              <c:f>'Marginale lasten'!$B$151</c:f>
              <c:strCache>
                <c:ptCount val="1"/>
                <c:pt idx="0">
                  <c:v>BIDyn</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5">
                    <a:lumMod val="75000"/>
                  </a:schemeClr>
                </a:solidFill>
              </a:ln>
              <a:effectLst/>
            </c:spPr>
          </c:marker>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2-8453-416D-81E8-C1F5B60E67CC}"/>
            </c:ext>
          </c:extLst>
        </c:ser>
        <c:ser>
          <c:idx val="3"/>
          <c:order val="3"/>
          <c:tx>
            <c:strRef>
              <c:f>'Marginale lasten'!$B$150</c:f>
              <c:strCache>
                <c:ptCount val="1"/>
                <c:pt idx="0">
                  <c:v>Situatie NU</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3-8453-416D-81E8-C1F5B60E67CC}"/>
            </c:ext>
          </c:extLst>
        </c:ser>
        <c:ser>
          <c:idx val="4"/>
          <c:order val="4"/>
          <c:tx>
            <c:strRef>
              <c:f>'Marginale lasten'!$B$148</c:f>
              <c:strCache>
                <c:ptCount val="1"/>
                <c:pt idx="0">
                  <c:v>CPB-Nibud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4-8453-416D-81E8-C1F5B60E67CC}"/>
            </c:ext>
          </c:extLst>
        </c:ser>
        <c:ser>
          <c:idx val="5"/>
          <c:order val="5"/>
          <c:tx>
            <c:strRef>
              <c:f>'Marginale lasten'!$B$154</c:f>
              <c:strCache>
                <c:ptCount val="1"/>
                <c:pt idx="0">
                  <c:v>BIDyn-0 (light)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5-8453-416D-81E8-C1F5B60E67CC}"/>
            </c:ext>
          </c:extLst>
        </c:ser>
        <c:dLbls>
          <c:showLegendKey val="0"/>
          <c:showVal val="0"/>
          <c:showCatName val="0"/>
          <c:showSerName val="0"/>
          <c:showPercent val="0"/>
          <c:showBubbleSize val="0"/>
        </c:dLbls>
        <c:marker val="1"/>
        <c:smooth val="0"/>
        <c:axId val="637827600"/>
        <c:axId val="637827928"/>
      </c:lineChart>
      <c:catAx>
        <c:axId val="637827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928"/>
        <c:crosses val="autoZero"/>
        <c:auto val="1"/>
        <c:lblAlgn val="ctr"/>
        <c:lblOffset val="100"/>
        <c:noMultiLvlLbl val="0"/>
      </c:catAx>
      <c:valAx>
        <c:axId val="637827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600"/>
        <c:crosses val="autoZero"/>
        <c:crossBetween val="between"/>
      </c:valAx>
      <c:spPr>
        <a:noFill/>
        <a:ln>
          <a:noFill/>
        </a:ln>
        <a:effectLst/>
      </c:spPr>
    </c:plotArea>
    <c:legend>
      <c:legendPos val="r"/>
      <c:overlay val="0"/>
      <c:spPr>
        <a:noFill/>
        <a:ln>
          <a:solidFill>
            <a:schemeClr val="accent6">
              <a:lumMod val="7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5450568678915135E-3"/>
                  <c:y val="-0.4343365412656751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'BIDyn-20'!$C$2:$C$3</c:f>
              <c:numCache>
                <c:formatCode>0</c:formatCode>
                <c:ptCount val="2"/>
                <c:pt idx="0" formatCode="General">
                  <c:v>0</c:v>
                </c:pt>
                <c:pt idx="1">
                  <c:v>150000</c:v>
                </c:pt>
              </c:numCache>
            </c:numRef>
          </c:xVal>
          <c:yVal>
            <c:numRef>
              <c:f>'BIDyn-20'!$D$2:$D$3</c:f>
              <c:numCache>
                <c:formatCode>General</c:formatCode>
                <c:ptCount val="2"/>
                <c:pt idx="0">
                  <c:v>8500</c:v>
                </c:pt>
                <c:pt idx="1">
                  <c:v>0</c:v>
                </c:pt>
              </c:numCache>
            </c:numRef>
          </c:yVal>
          <c:smooth val="0"/>
          <c:extLst>
            <c:ext xmlns:c16="http://schemas.microsoft.com/office/drawing/2014/chart" uri="{C3380CC4-5D6E-409C-BE32-E72D297353CC}">
              <c16:uniqueId val="{00000001-A4B9-469D-885E-773EBFF90DD9}"/>
            </c:ext>
          </c:extLst>
        </c:ser>
        <c:dLbls>
          <c:showLegendKey val="0"/>
          <c:showVal val="0"/>
          <c:showCatName val="0"/>
          <c:showSerName val="0"/>
          <c:showPercent val="0"/>
          <c:showBubbleSize val="0"/>
        </c:dLbls>
        <c:axId val="630642696"/>
        <c:axId val="630645976"/>
      </c:scatterChart>
      <c:valAx>
        <c:axId val="63064269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5976"/>
        <c:crosses val="autoZero"/>
        <c:crossBetween val="midCat"/>
      </c:valAx>
      <c:valAx>
        <c:axId val="630645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26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1">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7A0A-4F5B-A5B3-081CA2E2BBCC}"/>
            </c:ext>
          </c:extLst>
        </c:ser>
        <c:ser>
          <c:idx val="1"/>
          <c:order val="1"/>
          <c:tx>
            <c:v>Nú, vóór invoering BI</c:v>
          </c:tx>
          <c:spPr>
            <a:ln w="19050" cap="rnd">
              <a:solidFill>
                <a:schemeClr val="accent6">
                  <a:lumMod val="75000"/>
                </a:schemeClr>
              </a:solidFill>
              <a:round/>
            </a:ln>
            <a:effectLst/>
          </c:spPr>
          <c:marker>
            <c:symbol val="circle"/>
            <c:size val="5"/>
            <c:spPr>
              <a:solidFill>
                <a:schemeClr val="accent6">
                  <a:lumMod val="75000"/>
                </a:schemeClr>
              </a:solidFill>
              <a:ln w="12700">
                <a:solidFill>
                  <a:schemeClr val="accent6">
                    <a:lumMod val="75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7A0A-4F5B-A5B3-081CA2E2BBCC}"/>
            </c:ext>
          </c:extLst>
        </c:ser>
        <c:ser>
          <c:idx val="2"/>
          <c:order val="2"/>
          <c:tx>
            <c:v>BIDyn-light</c:v>
          </c:tx>
          <c:spPr>
            <a:ln w="19050" cap="rnd">
              <a:solidFill>
                <a:srgbClr val="FF0000"/>
              </a:solidFill>
              <a:round/>
            </a:ln>
            <a:effectLst/>
          </c:spPr>
          <c:marker>
            <c:symbol val="circle"/>
            <c:size val="5"/>
            <c:spPr>
              <a:solidFill>
                <a:srgbClr val="FF0000"/>
              </a:solidFill>
              <a:ln w="9525">
                <a:solidFill>
                  <a:srgbClr val="FF0000"/>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7A0A-4F5B-A5B3-081CA2E2BBCC}"/>
            </c:ext>
          </c:extLst>
        </c:ser>
        <c:ser>
          <c:idx val="4"/>
          <c:order val="3"/>
          <c:tx>
            <c:v>BIDyn-20</c:v>
          </c:tx>
          <c:spPr>
            <a:ln w="19050" cap="rnd">
              <a:solidFill>
                <a:srgbClr val="7030A0"/>
              </a:solidFill>
              <a:round/>
            </a:ln>
            <a:effectLst/>
          </c:spPr>
          <c:marker>
            <c:symbol val="circle"/>
            <c:size val="5"/>
            <c:spPr>
              <a:solidFill>
                <a:srgbClr val="7030A0"/>
              </a:solidFill>
              <a:ln w="9525">
                <a:solidFill>
                  <a:srgbClr val="7030A0"/>
                </a:solidFill>
              </a:ln>
              <a:effectLst/>
            </c:spPr>
          </c:marker>
          <c:val>
            <c:numRef>
              <c:f>'BIDyn-20'!$B$121:$K$121</c:f>
              <c:numCache>
                <c:formatCode>0</c:formatCode>
                <c:ptCount val="10"/>
                <c:pt idx="0">
                  <c:v>3900</c:v>
                </c:pt>
                <c:pt idx="1">
                  <c:v>15027.146666666667</c:v>
                </c:pt>
                <c:pt idx="2">
                  <c:v>19049.12</c:v>
                </c:pt>
                <c:pt idx="3">
                  <c:v>21807.426666666666</c:v>
                </c:pt>
                <c:pt idx="4">
                  <c:v>25476.193333333336</c:v>
                </c:pt>
                <c:pt idx="5">
                  <c:v>29251.413333333334</c:v>
                </c:pt>
                <c:pt idx="6">
                  <c:v>33178.720000000001</c:v>
                </c:pt>
                <c:pt idx="7">
                  <c:v>37616.160000000003</c:v>
                </c:pt>
                <c:pt idx="8">
                  <c:v>43883.1</c:v>
                </c:pt>
                <c:pt idx="9">
                  <c:v>61555.506666666668</c:v>
                </c:pt>
              </c:numCache>
            </c:numRef>
          </c:val>
          <c:smooth val="0"/>
          <c:extLst>
            <c:ext xmlns:c16="http://schemas.microsoft.com/office/drawing/2014/chart" uri="{C3380CC4-5D6E-409C-BE32-E72D297353CC}">
              <c16:uniqueId val="{00000005-7A0A-4F5B-A5B3-081CA2E2BBCC}"/>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30267716535433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t>Marginale lasten</a:t>
            </a:r>
          </a:p>
          <a:p>
            <a:pPr>
              <a:defRPr/>
            </a:pPr>
            <a:r>
              <a:rPr lang="nl-NL" sz="1600"/>
              <a:t>(Uit IB en</a:t>
            </a:r>
            <a:r>
              <a:rPr lang="nl-NL" sz="1600" baseline="0"/>
              <a:t> afname BIDyn)</a:t>
            </a:r>
            <a:endParaRPr lang="nl-NL"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914260717410336E-2"/>
          <c:y val="0.21289389771835521"/>
          <c:w val="0.8655433070866142"/>
          <c:h val="0.62287640671121081"/>
        </c:manualLayout>
      </c:layout>
      <c:lineChart>
        <c:grouping val="standard"/>
        <c:varyColors val="0"/>
        <c:ser>
          <c:idx val="0"/>
          <c:order val="0"/>
          <c:tx>
            <c:strRef>
              <c:f>'Marginale lasten'!$B$148</c:f>
              <c:strCache>
                <c:ptCount val="1"/>
                <c:pt idx="0">
                  <c:v>CPB-Nibud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0-9CDD-4E19-8EED-CECCBD2A0B00}"/>
            </c:ext>
          </c:extLst>
        </c:ser>
        <c:ser>
          <c:idx val="1"/>
          <c:order val="1"/>
          <c:tx>
            <c:strRef>
              <c:f>'Marginale lasten'!$B$151</c:f>
              <c:strCache>
                <c:ptCount val="1"/>
                <c:pt idx="0">
                  <c:v>BIDyn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1-9CDD-4E19-8EED-CECCBD2A0B00}"/>
            </c:ext>
          </c:extLst>
        </c:ser>
        <c:ser>
          <c:idx val="2"/>
          <c:order val="2"/>
          <c:tx>
            <c:strRef>
              <c:f>'Marginale lasten'!$B$150</c:f>
              <c:strCache>
                <c:ptCount val="1"/>
                <c:pt idx="0">
                  <c:v>Situatie NU</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2-9CDD-4E19-8EED-CECCBD2A0B00}"/>
            </c:ext>
          </c:extLst>
        </c:ser>
        <c:ser>
          <c:idx val="3"/>
          <c:order val="3"/>
          <c:tx>
            <c:strRef>
              <c:f>'Marginale lasten'!$B$154</c:f>
              <c:strCache>
                <c:ptCount val="1"/>
                <c:pt idx="0">
                  <c:v>BIDyn-0 (light)</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3-9CDD-4E19-8EED-CECCBD2A0B00}"/>
            </c:ext>
          </c:extLst>
        </c:ser>
        <c:dLbls>
          <c:showLegendKey val="0"/>
          <c:showVal val="0"/>
          <c:showCatName val="0"/>
          <c:showSerName val="0"/>
          <c:showPercent val="0"/>
          <c:showBubbleSize val="0"/>
        </c:dLbls>
        <c:marker val="1"/>
        <c:smooth val="0"/>
        <c:axId val="537035840"/>
        <c:axId val="537036496"/>
      </c:lineChart>
      <c:catAx>
        <c:axId val="537035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34783158355205596"/>
              <c:y val="0.90007718582210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6496"/>
        <c:crosses val="autoZero"/>
        <c:auto val="1"/>
        <c:lblAlgn val="ctr"/>
        <c:lblOffset val="100"/>
        <c:tickMarkSkip val="1"/>
        <c:noMultiLvlLbl val="0"/>
      </c:catAx>
      <c:valAx>
        <c:axId val="5370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2.2222222222222223E-2"/>
              <c:y val="4.4315828078490965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5840"/>
        <c:crosses val="autoZero"/>
        <c:crossBetween val="between"/>
      </c:valAx>
      <c:spPr>
        <a:noFill/>
        <a:ln>
          <a:noFill/>
        </a:ln>
        <a:effectLst/>
      </c:spPr>
    </c:plotArea>
    <c:legend>
      <c:legendPos val="r"/>
      <c:layout>
        <c:manualLayout>
          <c:xMode val="edge"/>
          <c:yMode val="edge"/>
          <c:x val="0.64601312335958005"/>
          <c:y val="0.54933020745070205"/>
          <c:w val="0.22401465441819776"/>
          <c:h val="0.300711790717208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1">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B68F-42BC-AA1F-C8DE700F2E9A}"/>
            </c:ext>
          </c:extLst>
        </c:ser>
        <c:ser>
          <c:idx val="1"/>
          <c:order val="1"/>
          <c:tx>
            <c:v>Nú, vóór invoering BI</c:v>
          </c:tx>
          <c:spPr>
            <a:ln w="19050" cap="rnd">
              <a:solidFill>
                <a:schemeClr val="accent6">
                  <a:lumMod val="75000"/>
                </a:schemeClr>
              </a:solidFill>
              <a:round/>
            </a:ln>
            <a:effectLst/>
          </c:spPr>
          <c:marker>
            <c:symbol val="circle"/>
            <c:size val="5"/>
            <c:spPr>
              <a:solidFill>
                <a:schemeClr val="accent6">
                  <a:lumMod val="75000"/>
                </a:schemeClr>
              </a:solidFill>
              <a:ln w="12700">
                <a:solidFill>
                  <a:schemeClr val="accent6">
                    <a:lumMod val="75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B68F-42BC-AA1F-C8DE700F2E9A}"/>
            </c:ext>
          </c:extLst>
        </c:ser>
        <c:ser>
          <c:idx val="2"/>
          <c:order val="2"/>
          <c:tx>
            <c:v>BIDyn-light</c:v>
          </c:tx>
          <c:spPr>
            <a:ln w="19050" cap="rnd">
              <a:solidFill>
                <a:srgbClr val="FF0000"/>
              </a:solidFill>
              <a:round/>
            </a:ln>
            <a:effectLst/>
          </c:spPr>
          <c:marker>
            <c:symbol val="circle"/>
            <c:size val="5"/>
            <c:spPr>
              <a:solidFill>
                <a:srgbClr val="FF0000"/>
              </a:solidFill>
              <a:ln w="9525">
                <a:solidFill>
                  <a:srgbClr val="FF0000"/>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B68F-42BC-AA1F-C8DE700F2E9A}"/>
            </c:ext>
          </c:extLst>
        </c:ser>
        <c:ser>
          <c:idx val="4"/>
          <c:order val="3"/>
          <c:tx>
            <c:v>BIDyn-20</c:v>
          </c:tx>
          <c:spPr>
            <a:ln w="19050" cap="rnd">
              <a:solidFill>
                <a:srgbClr val="7030A0"/>
              </a:solidFill>
              <a:round/>
            </a:ln>
            <a:effectLst/>
          </c:spPr>
          <c:marker>
            <c:symbol val="circle"/>
            <c:size val="5"/>
            <c:spPr>
              <a:solidFill>
                <a:srgbClr val="7030A0"/>
              </a:solidFill>
              <a:ln w="9525">
                <a:solidFill>
                  <a:srgbClr val="7030A0"/>
                </a:solidFill>
              </a:ln>
              <a:effectLst/>
            </c:spPr>
          </c:marker>
          <c:val>
            <c:numRef>
              <c:f>'BIDyn-20'!$B$121:$K$121</c:f>
              <c:numCache>
                <c:formatCode>0</c:formatCode>
                <c:ptCount val="10"/>
                <c:pt idx="0">
                  <c:v>3900</c:v>
                </c:pt>
                <c:pt idx="1">
                  <c:v>15027.146666666667</c:v>
                </c:pt>
                <c:pt idx="2">
                  <c:v>19049.12</c:v>
                </c:pt>
                <c:pt idx="3">
                  <c:v>21807.426666666666</c:v>
                </c:pt>
                <c:pt idx="4">
                  <c:v>25476.193333333336</c:v>
                </c:pt>
                <c:pt idx="5">
                  <c:v>29251.413333333334</c:v>
                </c:pt>
                <c:pt idx="6">
                  <c:v>33178.720000000001</c:v>
                </c:pt>
                <c:pt idx="7">
                  <c:v>37616.160000000003</c:v>
                </c:pt>
                <c:pt idx="8">
                  <c:v>43883.1</c:v>
                </c:pt>
                <c:pt idx="9">
                  <c:v>61555.506666666668</c:v>
                </c:pt>
              </c:numCache>
            </c:numRef>
          </c:val>
          <c:smooth val="0"/>
          <c:extLst>
            <c:ext xmlns:c16="http://schemas.microsoft.com/office/drawing/2014/chart" uri="{C3380CC4-5D6E-409C-BE32-E72D297353CC}">
              <c16:uniqueId val="{00000004-B68F-42BC-AA1F-C8DE700F2E9A}"/>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3783464566929133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 BIDyn-bundel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'Marginale lasten'!$B$153</c:f>
              <c:strCache>
                <c:ptCount val="1"/>
                <c:pt idx="0">
                  <c:v>BIDyn-20</c:v>
                </c:pt>
              </c:strCache>
            </c:strRef>
          </c:tx>
          <c:spPr>
            <a:ln w="28575" cap="rnd">
              <a:solidFill>
                <a:srgbClr val="7030A0"/>
              </a:solidFill>
              <a:round/>
            </a:ln>
            <a:effectLst/>
          </c:spPr>
          <c:marker>
            <c:symbol val="circle"/>
            <c:size val="5"/>
            <c:spPr>
              <a:solidFill>
                <a:srgbClr val="7030A0"/>
              </a:solidFill>
              <a:ln w="9525">
                <a:solidFill>
                  <a:schemeClr val="accent1"/>
                </a:solidFill>
              </a:ln>
              <a:effectLst/>
            </c:spPr>
          </c:marker>
          <c:val>
            <c:numRef>
              <c:f>'Marginale lasten'!$C$153:$L$153</c:f>
              <c:numCache>
                <c:formatCode>0</c:formatCode>
                <c:ptCount val="10"/>
                <c:pt idx="0">
                  <c:v>5.6666666666666661</c:v>
                </c:pt>
                <c:pt idx="1">
                  <c:v>37.666666666666664</c:v>
                </c:pt>
                <c:pt idx="2">
                  <c:v>37.666666666666664</c:v>
                </c:pt>
                <c:pt idx="3">
                  <c:v>37.666666666666664</c:v>
                </c:pt>
                <c:pt idx="4">
                  <c:v>47.666666666666664</c:v>
                </c:pt>
                <c:pt idx="5">
                  <c:v>47.666666666666664</c:v>
                </c:pt>
                <c:pt idx="6">
                  <c:v>57.666666666666664</c:v>
                </c:pt>
                <c:pt idx="7">
                  <c:v>57.666666666666664</c:v>
                </c:pt>
                <c:pt idx="8">
                  <c:v>67.666666666666671</c:v>
                </c:pt>
                <c:pt idx="9">
                  <c:v>67.666666666666671</c:v>
                </c:pt>
              </c:numCache>
            </c:numRef>
          </c:val>
          <c:smooth val="0"/>
          <c:extLst>
            <c:ext xmlns:c16="http://schemas.microsoft.com/office/drawing/2014/chart" uri="{C3380CC4-5D6E-409C-BE32-E72D297353CC}">
              <c16:uniqueId val="{00000000-B68B-4D61-A916-937B89E2DC80}"/>
            </c:ext>
          </c:extLst>
        </c:ser>
        <c:ser>
          <c:idx val="1"/>
          <c:order val="1"/>
          <c:tx>
            <c:strRef>
              <c:f>'Marginale lasten'!$B$152</c:f>
              <c:strCache>
                <c:ptCount val="1"/>
                <c:pt idx="0">
                  <c:v>BIDyn-40</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'Marginale lasten'!$C$152:$L$152</c:f>
              <c:numCache>
                <c:formatCode>0</c:formatCode>
                <c:ptCount val="10"/>
                <c:pt idx="0">
                  <c:v>7.333333333333333</c:v>
                </c:pt>
                <c:pt idx="1">
                  <c:v>37.333333333333336</c:v>
                </c:pt>
                <c:pt idx="2">
                  <c:v>37.333333333333336</c:v>
                </c:pt>
                <c:pt idx="3">
                  <c:v>37.333333333333336</c:v>
                </c:pt>
                <c:pt idx="4">
                  <c:v>47.333333333333336</c:v>
                </c:pt>
                <c:pt idx="5">
                  <c:v>47.333333333333336</c:v>
                </c:pt>
                <c:pt idx="6">
                  <c:v>57.333333333333336</c:v>
                </c:pt>
                <c:pt idx="7">
                  <c:v>57.333333333333336</c:v>
                </c:pt>
                <c:pt idx="8">
                  <c:v>67.333333333333329</c:v>
                </c:pt>
                <c:pt idx="9">
                  <c:v>67.333333333333329</c:v>
                </c:pt>
              </c:numCache>
            </c:numRef>
          </c:val>
          <c:smooth val="0"/>
          <c:extLst>
            <c:ext xmlns:c16="http://schemas.microsoft.com/office/drawing/2014/chart" uri="{C3380CC4-5D6E-409C-BE32-E72D297353CC}">
              <c16:uniqueId val="{00000001-B68B-4D61-A916-937B89E2DC80}"/>
            </c:ext>
          </c:extLst>
        </c:ser>
        <c:ser>
          <c:idx val="2"/>
          <c:order val="2"/>
          <c:tx>
            <c:strRef>
              <c:f>'Marginale lasten'!$B$151</c:f>
              <c:strCache>
                <c:ptCount val="1"/>
                <c:pt idx="0">
                  <c:v>BIDyn</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5">
                    <a:lumMod val="75000"/>
                  </a:schemeClr>
                </a:solidFill>
              </a:ln>
              <a:effectLst/>
            </c:spPr>
          </c:marker>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2-B68B-4D61-A916-937B89E2DC80}"/>
            </c:ext>
          </c:extLst>
        </c:ser>
        <c:ser>
          <c:idx val="3"/>
          <c:order val="3"/>
          <c:tx>
            <c:strRef>
              <c:f>'Marginale lasten'!$B$150</c:f>
              <c:strCache>
                <c:ptCount val="1"/>
                <c:pt idx="0">
                  <c:v>Situatie NU</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3-B68B-4D61-A916-937B89E2DC80}"/>
            </c:ext>
          </c:extLst>
        </c:ser>
        <c:ser>
          <c:idx val="4"/>
          <c:order val="4"/>
          <c:tx>
            <c:strRef>
              <c:f>'Marginale lasten'!$B$148</c:f>
              <c:strCache>
                <c:ptCount val="1"/>
                <c:pt idx="0">
                  <c:v>CPB-Nibud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4-B68B-4D61-A916-937B89E2DC80}"/>
            </c:ext>
          </c:extLst>
        </c:ser>
        <c:ser>
          <c:idx val="5"/>
          <c:order val="5"/>
          <c:tx>
            <c:strRef>
              <c:f>'Marginale lasten'!$B$154</c:f>
              <c:strCache>
                <c:ptCount val="1"/>
                <c:pt idx="0">
                  <c:v>BIDyn-0 (light)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5-B68B-4D61-A916-937B89E2DC80}"/>
            </c:ext>
          </c:extLst>
        </c:ser>
        <c:dLbls>
          <c:showLegendKey val="0"/>
          <c:showVal val="0"/>
          <c:showCatName val="0"/>
          <c:showSerName val="0"/>
          <c:showPercent val="0"/>
          <c:showBubbleSize val="0"/>
        </c:dLbls>
        <c:marker val="1"/>
        <c:smooth val="0"/>
        <c:axId val="637827600"/>
        <c:axId val="637827928"/>
      </c:lineChart>
      <c:catAx>
        <c:axId val="637827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928"/>
        <c:crosses val="autoZero"/>
        <c:auto val="1"/>
        <c:lblAlgn val="ctr"/>
        <c:lblOffset val="100"/>
        <c:noMultiLvlLbl val="0"/>
      </c:catAx>
      <c:valAx>
        <c:axId val="637827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600"/>
        <c:crosses val="autoZero"/>
        <c:crossBetween val="between"/>
      </c:valAx>
      <c:spPr>
        <a:noFill/>
        <a:ln>
          <a:noFill/>
        </a:ln>
        <a:effectLst/>
      </c:spPr>
    </c:plotArea>
    <c:legend>
      <c:legendPos val="r"/>
      <c:overlay val="0"/>
      <c:spPr>
        <a:noFill/>
        <a:ln>
          <a:solidFill>
            <a:schemeClr val="accent6">
              <a:lumMod val="7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5450568678915135E-3"/>
                  <c:y val="-0.4343365412656751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'BIDyn light'!$C$2:$C$3</c:f>
              <c:numCache>
                <c:formatCode>0</c:formatCode>
                <c:ptCount val="2"/>
                <c:pt idx="0" formatCode="General">
                  <c:v>0</c:v>
                </c:pt>
                <c:pt idx="1">
                  <c:v>150000</c:v>
                </c:pt>
              </c:numCache>
            </c:numRef>
          </c:xVal>
          <c:yVal>
            <c:numRef>
              <c:f>'BIDyn light'!$D$2:$D$3</c:f>
              <c:numCache>
                <c:formatCode>General</c:formatCode>
                <c:ptCount val="2"/>
                <c:pt idx="0">
                  <c:v>6600</c:v>
                </c:pt>
                <c:pt idx="1">
                  <c:v>0</c:v>
                </c:pt>
              </c:numCache>
            </c:numRef>
          </c:yVal>
          <c:smooth val="0"/>
          <c:extLst>
            <c:ext xmlns:c16="http://schemas.microsoft.com/office/drawing/2014/chart" uri="{C3380CC4-5D6E-409C-BE32-E72D297353CC}">
              <c16:uniqueId val="{00000001-1C6C-47A6-8046-2B8D95BC27BC}"/>
            </c:ext>
          </c:extLst>
        </c:ser>
        <c:dLbls>
          <c:showLegendKey val="0"/>
          <c:showVal val="0"/>
          <c:showCatName val="0"/>
          <c:showSerName val="0"/>
          <c:showPercent val="0"/>
          <c:showBubbleSize val="0"/>
        </c:dLbls>
        <c:axId val="630642696"/>
        <c:axId val="630645976"/>
      </c:scatterChart>
      <c:valAx>
        <c:axId val="63064269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5976"/>
        <c:crosses val="autoZero"/>
        <c:crossBetween val="midCat"/>
      </c:valAx>
      <c:valAx>
        <c:axId val="630645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26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1">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BD34-44FD-8FDA-C803B257FD58}"/>
            </c:ext>
          </c:extLst>
        </c:ser>
        <c:ser>
          <c:idx val="1"/>
          <c:order val="1"/>
          <c:tx>
            <c:v>Nú, vóór invoering BI</c:v>
          </c:tx>
          <c:spPr>
            <a:ln w="19050" cap="rnd">
              <a:solidFill>
                <a:schemeClr val="accent6">
                  <a:lumMod val="75000"/>
                </a:schemeClr>
              </a:solidFill>
              <a:round/>
            </a:ln>
            <a:effectLst/>
          </c:spPr>
          <c:marker>
            <c:symbol val="circle"/>
            <c:size val="5"/>
            <c:spPr>
              <a:solidFill>
                <a:schemeClr val="accent6">
                  <a:lumMod val="75000"/>
                </a:schemeClr>
              </a:solidFill>
              <a:ln w="12700">
                <a:solidFill>
                  <a:schemeClr val="accent6">
                    <a:lumMod val="75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BD34-44FD-8FDA-C803B257FD58}"/>
            </c:ext>
          </c:extLst>
        </c:ser>
        <c:ser>
          <c:idx val="2"/>
          <c:order val="2"/>
          <c:tx>
            <c:v>BIDyn-light</c:v>
          </c:tx>
          <c:spPr>
            <a:ln w="19050" cap="rnd">
              <a:solidFill>
                <a:srgbClr val="FF0000"/>
              </a:solidFill>
              <a:round/>
            </a:ln>
            <a:effectLst/>
          </c:spPr>
          <c:marker>
            <c:symbol val="circle"/>
            <c:size val="5"/>
            <c:spPr>
              <a:solidFill>
                <a:srgbClr val="FF0000"/>
              </a:solidFill>
              <a:ln w="9525">
                <a:solidFill>
                  <a:srgbClr val="FF0000"/>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BD34-44FD-8FDA-C803B257FD58}"/>
            </c:ext>
          </c:extLst>
        </c:ser>
        <c:ser>
          <c:idx val="3"/>
          <c:order val="3"/>
          <c:tx>
            <c:v>AONI</c:v>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AONI!$B$106:$K$106</c:f>
              <c:numCache>
                <c:formatCode>0</c:formatCode>
                <c:ptCount val="10"/>
                <c:pt idx="0">
                  <c:v>3900</c:v>
                </c:pt>
                <c:pt idx="1">
                  <c:v>18714</c:v>
                </c:pt>
                <c:pt idx="2">
                  <c:v>21066</c:v>
                </c:pt>
                <c:pt idx="3">
                  <c:v>23130</c:v>
                </c:pt>
                <c:pt idx="4">
                  <c:v>25776</c:v>
                </c:pt>
                <c:pt idx="5">
                  <c:v>27846</c:v>
                </c:pt>
                <c:pt idx="6">
                  <c:v>30336</c:v>
                </c:pt>
                <c:pt idx="7">
                  <c:v>33276</c:v>
                </c:pt>
                <c:pt idx="8">
                  <c:v>35901</c:v>
                </c:pt>
                <c:pt idx="9">
                  <c:v>43296</c:v>
                </c:pt>
              </c:numCache>
            </c:numRef>
          </c:val>
          <c:smooth val="0"/>
          <c:extLst>
            <c:ext xmlns:c16="http://schemas.microsoft.com/office/drawing/2014/chart" uri="{C3380CC4-5D6E-409C-BE32-E72D297353CC}">
              <c16:uniqueId val="{00000003-BD34-44FD-8FDA-C803B257FD58}"/>
            </c:ext>
          </c:extLst>
        </c:ser>
        <c:ser>
          <c:idx val="4"/>
          <c:order val="4"/>
          <c:tx>
            <c:v>BIDyn-40</c:v>
          </c:tx>
          <c:spPr>
            <a:ln w="19050" cap="rnd">
              <a:solidFill>
                <a:schemeClr val="accent5"/>
              </a:solidFill>
              <a:round/>
            </a:ln>
            <a:effectLst/>
          </c:spPr>
          <c:marker>
            <c:symbol val="circle"/>
            <c:size val="5"/>
            <c:spPr>
              <a:solidFill>
                <a:schemeClr val="accent5"/>
              </a:solidFill>
              <a:ln w="9525">
                <a:solidFill>
                  <a:schemeClr val="accent5"/>
                </a:solidFill>
              </a:ln>
              <a:effectLst/>
            </c:spPr>
          </c:marker>
          <c:val>
            <c:numRef>
              <c:f>'BIDyn-40'!$B$121:$K$121</c:f>
              <c:numCache>
                <c:formatCode>0</c:formatCode>
                <c:ptCount val="10"/>
                <c:pt idx="0">
                  <c:v>3900</c:v>
                </c:pt>
                <c:pt idx="1">
                  <c:v>16409.866666666669</c:v>
                </c:pt>
                <c:pt idx="2">
                  <c:v>20820.8</c:v>
                </c:pt>
                <c:pt idx="3">
                  <c:v>23610.066666666666</c:v>
                </c:pt>
                <c:pt idx="4">
                  <c:v>27113.199999999997</c:v>
                </c:pt>
                <c:pt idx="5">
                  <c:v>30949.599999999999</c:v>
                </c:pt>
                <c:pt idx="6">
                  <c:v>34867</c:v>
                </c:pt>
                <c:pt idx="7">
                  <c:v>39407.666666666672</c:v>
                </c:pt>
                <c:pt idx="8">
                  <c:v>45688</c:v>
                </c:pt>
                <c:pt idx="9">
                  <c:v>63961.866666666669</c:v>
                </c:pt>
              </c:numCache>
            </c:numRef>
          </c:val>
          <c:smooth val="0"/>
          <c:extLst>
            <c:ext xmlns:c16="http://schemas.microsoft.com/office/drawing/2014/chart" uri="{C3380CC4-5D6E-409C-BE32-E72D297353CC}">
              <c16:uniqueId val="{00000001-8003-4361-B165-C48E2B7634F5}"/>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3783464566929133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en-US" sz="1600"/>
              <a:t>Persoonlijk inkomen 2018, gemiddeld per deciel</a:t>
            </a:r>
          </a:p>
        </c:rich>
      </c:tx>
      <c:layout>
        <c:manualLayout>
          <c:xMode val="edge"/>
          <c:yMode val="edge"/>
          <c:x val="0.19668580387840418"/>
          <c:y val="2.31046878865941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n-US"/>
        </a:p>
      </c:txPr>
    </c:title>
    <c:autoTitleDeleted val="0"/>
    <c:plotArea>
      <c:layout>
        <c:manualLayout>
          <c:layoutTarget val="inner"/>
          <c:xMode val="edge"/>
          <c:yMode val="edge"/>
          <c:x val="0.20113648293963254"/>
          <c:y val="0.12344880677444188"/>
          <c:w val="0.66507086614173228"/>
          <c:h val="0.73982045546847064"/>
        </c:manualLayout>
      </c:layout>
      <c:lineChart>
        <c:grouping val="standard"/>
        <c:varyColors val="0"/>
        <c:ser>
          <c:idx val="0"/>
          <c:order val="0"/>
          <c:tx>
            <c:v>Bruto Inkomen</c:v>
          </c:tx>
          <c:spPr>
            <a:ln w="19050" cap="rnd">
              <a:solidFill>
                <a:schemeClr val="accent1"/>
              </a:solidFill>
              <a:round/>
            </a:ln>
            <a:effectLst/>
          </c:spPr>
          <c:marker>
            <c:symbol val="circle"/>
            <c:size val="5"/>
            <c:spPr>
              <a:solidFill>
                <a:schemeClr val="accent1"/>
              </a:solidFill>
              <a:ln w="9525">
                <a:solidFill>
                  <a:schemeClr val="accent1"/>
                </a:solidFill>
              </a:ln>
              <a:effectLst/>
            </c:spPr>
          </c:marker>
          <c:dPt>
            <c:idx val="9"/>
            <c:marker>
              <c:symbol val="circle"/>
              <c:size val="5"/>
              <c:spPr>
                <a:solidFill>
                  <a:schemeClr val="accent1"/>
                </a:solidFill>
                <a:ln w="9525">
                  <a:solidFill>
                    <a:schemeClr val="accent1"/>
                  </a:solidFill>
                </a:ln>
                <a:effectLst/>
              </c:spPr>
            </c:marker>
            <c:bubble3D val="0"/>
            <c:spPr>
              <a:ln w="28575" cap="rnd">
                <a:solidFill>
                  <a:schemeClr val="accent1"/>
                </a:solidFill>
                <a:round/>
              </a:ln>
              <a:effectLst/>
            </c:spPr>
            <c:extLst>
              <c:ext xmlns:c16="http://schemas.microsoft.com/office/drawing/2014/chart" uri="{C3380CC4-5D6E-409C-BE32-E72D297353CC}">
                <c16:uniqueId val="{00000002-A025-406C-9C35-8083DC34E843}"/>
              </c:ext>
            </c:extLst>
          </c:dPt>
          <c:cat>
            <c:numRef>
              <c:f>AONI!$B$33:$K$33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AONI!$B$35:$K$35</c:f>
              <c:numCache>
                <c:formatCode>0</c:formatCode>
                <c:ptCount val="10"/>
                <c:pt idx="0">
                  <c:v>2400</c:v>
                </c:pt>
                <c:pt idx="1">
                  <c:v>9500</c:v>
                </c:pt>
                <c:pt idx="2">
                  <c:v>14400</c:v>
                </c:pt>
                <c:pt idx="3">
                  <c:v>18700</c:v>
                </c:pt>
                <c:pt idx="4">
                  <c:v>24700</c:v>
                </c:pt>
                <c:pt idx="5">
                  <c:v>31600</c:v>
                </c:pt>
                <c:pt idx="6">
                  <c:v>39900</c:v>
                </c:pt>
                <c:pt idx="7">
                  <c:v>49700</c:v>
                </c:pt>
                <c:pt idx="8">
                  <c:v>64500</c:v>
                </c:pt>
                <c:pt idx="9">
                  <c:v>113800</c:v>
                </c:pt>
              </c:numCache>
            </c:numRef>
          </c:val>
          <c:smooth val="0"/>
          <c:extLst>
            <c:ext xmlns:c16="http://schemas.microsoft.com/office/drawing/2014/chart" uri="{C3380CC4-5D6E-409C-BE32-E72D297353CC}">
              <c16:uniqueId val="{00000000-7BB3-4104-9950-00993966238B}"/>
            </c:ext>
          </c:extLst>
        </c:ser>
        <c:ser>
          <c:idx val="1"/>
          <c:order val="1"/>
          <c:tx>
            <c:v>Netto Inkomen</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AONI!$B$33:$K$33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AONI!$B$41:$K$41</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A9B8-4AAD-81A2-A51DA7DDCEE5}"/>
            </c:ext>
          </c:extLst>
        </c:ser>
        <c:ser>
          <c:idx val="2"/>
          <c:order val="2"/>
          <c:tx>
            <c:v>Trendlijn</c:v>
          </c:tx>
          <c:spPr>
            <a:ln w="19050" cap="rnd">
              <a:noFill/>
              <a:round/>
            </a:ln>
            <a:effectLst/>
          </c:spPr>
          <c:marker>
            <c:symbol val="circle"/>
            <c:size val="5"/>
            <c:spPr>
              <a:noFill/>
              <a:ln w="9525">
                <a:noFill/>
              </a:ln>
              <a:effectLst/>
            </c:spPr>
          </c:marker>
          <c:trendline>
            <c:spPr>
              <a:ln w="38100" cap="rnd">
                <a:solidFill>
                  <a:schemeClr val="accent6">
                    <a:lumMod val="50000"/>
                  </a:schemeClr>
                </a:solidFill>
                <a:prstDash val="sysDot"/>
              </a:ln>
              <a:effectLst/>
            </c:spPr>
            <c:trendlineType val="linear"/>
            <c:forward val="0.5"/>
            <c:backward val="0.5"/>
            <c:dispRSqr val="1"/>
            <c:dispEq val="1"/>
            <c:trendlineLbl>
              <c:layout>
                <c:manualLayout>
                  <c:x val="0.12701008068655428"/>
                  <c:y val="9.639737486363310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trendlineLbl>
          </c:trendline>
          <c:val>
            <c:numRef>
              <c:f>AONI!$B$42:$K$42</c:f>
              <c:numCache>
                <c:formatCode>0</c:formatCode>
                <c:ptCount val="10"/>
                <c:pt idx="1">
                  <c:v>8929.89</c:v>
                </c:pt>
                <c:pt idx="2">
                  <c:v>13302.089480000001</c:v>
                </c:pt>
                <c:pt idx="3">
                  <c:v>17234.955480000001</c:v>
                </c:pt>
                <c:pt idx="4">
                  <c:v>21608.44512</c:v>
                </c:pt>
                <c:pt idx="5">
                  <c:v>25654.19112</c:v>
                </c:pt>
                <c:pt idx="6">
                  <c:v>30142.189920000001</c:v>
                </c:pt>
                <c:pt idx="7">
                  <c:v>35138.033920000002</c:v>
                </c:pt>
              </c:numCache>
            </c:numRef>
          </c:val>
          <c:smooth val="0"/>
          <c:extLst>
            <c:ext xmlns:c16="http://schemas.microsoft.com/office/drawing/2014/chart" uri="{C3380CC4-5D6E-409C-BE32-E72D297353CC}">
              <c16:uniqueId val="{00000002-92DB-42C7-9ABD-28EB4BD43969}"/>
            </c:ext>
          </c:extLst>
        </c:ser>
        <c:dLbls>
          <c:showLegendKey val="0"/>
          <c:showVal val="0"/>
          <c:showCatName val="0"/>
          <c:showSerName val="0"/>
          <c:showPercent val="0"/>
          <c:showBubbleSize val="0"/>
        </c:dLbls>
        <c:marker val="1"/>
        <c:smooth val="0"/>
        <c:axId val="489175464"/>
        <c:axId val="489175136"/>
      </c:lineChart>
      <c:catAx>
        <c:axId val="4891754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r>
                  <a:rPr lang="nl-NL"/>
                  <a:t>Deciel, (verdeeld in 10 groepen met gelijk aantal personen)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489175136"/>
        <c:crosses val="autoZero"/>
        <c:auto val="1"/>
        <c:lblAlgn val="ctr"/>
        <c:lblOffset val="100"/>
        <c:tickMarkSkip val="1"/>
        <c:noMultiLvlLbl val="1"/>
      </c:catAx>
      <c:valAx>
        <c:axId val="489175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95000"/>
                        <a:lumOff val="5000"/>
                      </a:schemeClr>
                    </a:solidFill>
                    <a:latin typeface="+mn-lt"/>
                    <a:ea typeface="+mn-ea"/>
                    <a:cs typeface="+mn-cs"/>
                  </a:defRPr>
                </a:pPr>
                <a:r>
                  <a:rPr lang="en-US" sz="1400"/>
                  <a:t>Euro</a:t>
                </a:r>
              </a:p>
            </c:rich>
          </c:tx>
          <c:layout>
            <c:manualLayout>
              <c:xMode val="edge"/>
              <c:yMode val="edge"/>
              <c:x val="3.5506603903867985E-2"/>
              <c:y val="2.486786059080081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95000"/>
                      <a:lumOff val="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489175464"/>
        <c:crossesAt val="1"/>
        <c:crossBetween val="between"/>
      </c:valAx>
      <c:spPr>
        <a:noFill/>
        <a:ln>
          <a:noFill/>
        </a:ln>
        <a:effectLst/>
      </c:spPr>
    </c:plotArea>
    <c:legend>
      <c:legendPos val="r"/>
      <c:legendEntry>
        <c:idx val="2"/>
        <c:delete val="1"/>
      </c:legendEntry>
      <c:layout>
        <c:manualLayout>
          <c:xMode val="edge"/>
          <c:yMode val="edge"/>
          <c:x val="0.29798502256062154"/>
          <c:y val="0.20196013865238419"/>
          <c:w val="0.2660888578643727"/>
          <c:h val="0.1943496874859250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13B4-4976-BAA3-912DF0FEBC99}"/>
            </c:ext>
          </c:extLst>
        </c:ser>
        <c:ser>
          <c:idx val="1"/>
          <c:order val="1"/>
          <c:tx>
            <c:v>Nú, vóór invoering BI</c:v>
          </c:tx>
          <c:spPr>
            <a:ln w="19050" cap="rnd">
              <a:solidFill>
                <a:schemeClr val="bg2">
                  <a:lumMod val="25000"/>
                </a:schemeClr>
              </a:solidFill>
              <a:round/>
            </a:ln>
            <a:effectLst/>
          </c:spPr>
          <c:marker>
            <c:symbol val="circle"/>
            <c:size val="5"/>
            <c:spPr>
              <a:solidFill>
                <a:schemeClr val="bg2">
                  <a:lumMod val="50000"/>
                </a:schemeClr>
              </a:solidFill>
              <a:ln w="12700">
                <a:solidFill>
                  <a:schemeClr val="bg2">
                    <a:lumMod val="50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13B4-4976-BAA3-912DF0FEBC99}"/>
            </c:ext>
          </c:extLst>
        </c:ser>
        <c:ser>
          <c:idx val="2"/>
          <c:order val="2"/>
          <c:tx>
            <c:v>BIDyn-light</c:v>
          </c:tx>
          <c:spPr>
            <a:ln w="19050" cap="rnd">
              <a:solidFill>
                <a:schemeClr val="accent3"/>
              </a:solidFill>
              <a:round/>
            </a:ln>
            <a:effectLst/>
          </c:spPr>
          <c:marker>
            <c:symbol val="circle"/>
            <c:size val="5"/>
            <c:spPr>
              <a:solidFill>
                <a:schemeClr val="accent3"/>
              </a:solidFill>
              <a:ln w="9525">
                <a:solidFill>
                  <a:schemeClr val="accent3"/>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13B4-4976-BAA3-912DF0FEBC99}"/>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2270078740157480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t>Marginale lasten</a:t>
            </a:r>
          </a:p>
          <a:p>
            <a:pPr>
              <a:defRPr/>
            </a:pPr>
            <a:r>
              <a:rPr lang="nl-NL" sz="1600"/>
              <a:t>(Uit IB en</a:t>
            </a:r>
            <a:r>
              <a:rPr lang="nl-NL" sz="1600" baseline="0"/>
              <a:t> afname BIDyn)</a:t>
            </a:r>
            <a:endParaRPr lang="nl-NL"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914260717410336E-2"/>
          <c:y val="0.21289389771835521"/>
          <c:w val="0.8655433070866142"/>
          <c:h val="0.62287640671121081"/>
        </c:manualLayout>
      </c:layout>
      <c:lineChart>
        <c:grouping val="standard"/>
        <c:varyColors val="0"/>
        <c:ser>
          <c:idx val="0"/>
          <c:order val="0"/>
          <c:tx>
            <c:strRef>
              <c:f>'Marginale lasten'!$B$148</c:f>
              <c:strCache>
                <c:ptCount val="1"/>
                <c:pt idx="0">
                  <c:v>CPB-Nibud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0-DC11-44D1-A14C-5D59B5D17580}"/>
            </c:ext>
          </c:extLst>
        </c:ser>
        <c:ser>
          <c:idx val="1"/>
          <c:order val="1"/>
          <c:tx>
            <c:strRef>
              <c:f>'Marginale lasten'!$B$151</c:f>
              <c:strCache>
                <c:ptCount val="1"/>
                <c:pt idx="0">
                  <c:v>BIDyn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1-DC11-44D1-A14C-5D59B5D17580}"/>
            </c:ext>
          </c:extLst>
        </c:ser>
        <c:ser>
          <c:idx val="2"/>
          <c:order val="2"/>
          <c:tx>
            <c:strRef>
              <c:f>'Marginale lasten'!$B$150</c:f>
              <c:strCache>
                <c:ptCount val="1"/>
                <c:pt idx="0">
                  <c:v>Situatie NU</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2-DC11-44D1-A14C-5D59B5D17580}"/>
            </c:ext>
          </c:extLst>
        </c:ser>
        <c:ser>
          <c:idx val="3"/>
          <c:order val="3"/>
          <c:tx>
            <c:strRef>
              <c:f>'Marginale lasten'!$B$154</c:f>
              <c:strCache>
                <c:ptCount val="1"/>
                <c:pt idx="0">
                  <c:v>BIDyn-0 (light)</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3-DC11-44D1-A14C-5D59B5D17580}"/>
            </c:ext>
          </c:extLst>
        </c:ser>
        <c:dLbls>
          <c:showLegendKey val="0"/>
          <c:showVal val="0"/>
          <c:showCatName val="0"/>
          <c:showSerName val="0"/>
          <c:showPercent val="0"/>
          <c:showBubbleSize val="0"/>
        </c:dLbls>
        <c:marker val="1"/>
        <c:smooth val="0"/>
        <c:axId val="537035840"/>
        <c:axId val="537036496"/>
      </c:lineChart>
      <c:catAx>
        <c:axId val="537035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34783158355205596"/>
              <c:y val="0.90007718582210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6496"/>
        <c:crosses val="autoZero"/>
        <c:auto val="1"/>
        <c:lblAlgn val="ctr"/>
        <c:lblOffset val="100"/>
        <c:tickMarkSkip val="1"/>
        <c:noMultiLvlLbl val="0"/>
      </c:catAx>
      <c:valAx>
        <c:axId val="5370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2.2222222222222223E-2"/>
              <c:y val="4.4315828078490965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5840"/>
        <c:crosses val="autoZero"/>
        <c:crossBetween val="between"/>
      </c:valAx>
      <c:spPr>
        <a:noFill/>
        <a:ln>
          <a:noFill/>
        </a:ln>
        <a:effectLst/>
      </c:spPr>
    </c:plotArea>
    <c:legend>
      <c:legendPos val="r"/>
      <c:layout>
        <c:manualLayout>
          <c:xMode val="edge"/>
          <c:yMode val="edge"/>
          <c:x val="0.64601312335958005"/>
          <c:y val="0.54933020745070205"/>
          <c:w val="0.22401465441819776"/>
          <c:h val="0.3007117907172084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 BIDyn-bundel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'Marginale lasten'!$B$153</c:f>
              <c:strCache>
                <c:ptCount val="1"/>
                <c:pt idx="0">
                  <c:v>BIDyn-20</c:v>
                </c:pt>
              </c:strCache>
            </c:strRef>
          </c:tx>
          <c:spPr>
            <a:ln w="28575" cap="rnd">
              <a:solidFill>
                <a:srgbClr val="7030A0"/>
              </a:solidFill>
              <a:round/>
            </a:ln>
            <a:effectLst/>
          </c:spPr>
          <c:marker>
            <c:symbol val="circle"/>
            <c:size val="5"/>
            <c:spPr>
              <a:solidFill>
                <a:srgbClr val="7030A0"/>
              </a:solidFill>
              <a:ln w="9525">
                <a:solidFill>
                  <a:schemeClr val="accent1"/>
                </a:solidFill>
              </a:ln>
              <a:effectLst/>
            </c:spPr>
          </c:marker>
          <c:val>
            <c:numRef>
              <c:f>'Marginale lasten'!$C$153:$L$153</c:f>
              <c:numCache>
                <c:formatCode>0</c:formatCode>
                <c:ptCount val="10"/>
                <c:pt idx="0">
                  <c:v>5.6666666666666661</c:v>
                </c:pt>
                <c:pt idx="1">
                  <c:v>37.666666666666664</c:v>
                </c:pt>
                <c:pt idx="2">
                  <c:v>37.666666666666664</c:v>
                </c:pt>
                <c:pt idx="3">
                  <c:v>37.666666666666664</c:v>
                </c:pt>
                <c:pt idx="4">
                  <c:v>47.666666666666664</c:v>
                </c:pt>
                <c:pt idx="5">
                  <c:v>47.666666666666664</c:v>
                </c:pt>
                <c:pt idx="6">
                  <c:v>57.666666666666664</c:v>
                </c:pt>
                <c:pt idx="7">
                  <c:v>57.666666666666664</c:v>
                </c:pt>
                <c:pt idx="8">
                  <c:v>67.666666666666671</c:v>
                </c:pt>
                <c:pt idx="9">
                  <c:v>67.666666666666671</c:v>
                </c:pt>
              </c:numCache>
            </c:numRef>
          </c:val>
          <c:smooth val="0"/>
          <c:extLst>
            <c:ext xmlns:c16="http://schemas.microsoft.com/office/drawing/2014/chart" uri="{C3380CC4-5D6E-409C-BE32-E72D297353CC}">
              <c16:uniqueId val="{00000000-8D7E-452F-9496-52C46CD0BB11}"/>
            </c:ext>
          </c:extLst>
        </c:ser>
        <c:ser>
          <c:idx val="1"/>
          <c:order val="1"/>
          <c:tx>
            <c:strRef>
              <c:f>'Marginale lasten'!$B$152</c:f>
              <c:strCache>
                <c:ptCount val="1"/>
                <c:pt idx="0">
                  <c:v>BIDyn-40</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'Marginale lasten'!$C$152:$L$152</c:f>
              <c:numCache>
                <c:formatCode>0</c:formatCode>
                <c:ptCount val="10"/>
                <c:pt idx="0">
                  <c:v>7.333333333333333</c:v>
                </c:pt>
                <c:pt idx="1">
                  <c:v>37.333333333333336</c:v>
                </c:pt>
                <c:pt idx="2">
                  <c:v>37.333333333333336</c:v>
                </c:pt>
                <c:pt idx="3">
                  <c:v>37.333333333333336</c:v>
                </c:pt>
                <c:pt idx="4">
                  <c:v>47.333333333333336</c:v>
                </c:pt>
                <c:pt idx="5">
                  <c:v>47.333333333333336</c:v>
                </c:pt>
                <c:pt idx="6">
                  <c:v>57.333333333333336</c:v>
                </c:pt>
                <c:pt idx="7">
                  <c:v>57.333333333333336</c:v>
                </c:pt>
                <c:pt idx="8">
                  <c:v>67.333333333333329</c:v>
                </c:pt>
                <c:pt idx="9">
                  <c:v>67.333333333333329</c:v>
                </c:pt>
              </c:numCache>
            </c:numRef>
          </c:val>
          <c:smooth val="0"/>
          <c:extLst>
            <c:ext xmlns:c16="http://schemas.microsoft.com/office/drawing/2014/chart" uri="{C3380CC4-5D6E-409C-BE32-E72D297353CC}">
              <c16:uniqueId val="{00000001-8D7E-452F-9496-52C46CD0BB11}"/>
            </c:ext>
          </c:extLst>
        </c:ser>
        <c:ser>
          <c:idx val="2"/>
          <c:order val="2"/>
          <c:tx>
            <c:strRef>
              <c:f>'Marginale lasten'!$B$151</c:f>
              <c:strCache>
                <c:ptCount val="1"/>
                <c:pt idx="0">
                  <c:v>BIDyn</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5">
                    <a:lumMod val="75000"/>
                  </a:schemeClr>
                </a:solidFill>
              </a:ln>
              <a:effectLst/>
            </c:spPr>
          </c:marker>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2-8D7E-452F-9496-52C46CD0BB11}"/>
            </c:ext>
          </c:extLst>
        </c:ser>
        <c:ser>
          <c:idx val="3"/>
          <c:order val="3"/>
          <c:tx>
            <c:strRef>
              <c:f>'Marginale lasten'!$B$150</c:f>
              <c:strCache>
                <c:ptCount val="1"/>
                <c:pt idx="0">
                  <c:v>Situatie NU</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3-8D7E-452F-9496-52C46CD0BB11}"/>
            </c:ext>
          </c:extLst>
        </c:ser>
        <c:ser>
          <c:idx val="4"/>
          <c:order val="4"/>
          <c:tx>
            <c:strRef>
              <c:f>'Marginale lasten'!$B$148</c:f>
              <c:strCache>
                <c:ptCount val="1"/>
                <c:pt idx="0">
                  <c:v>CPB-Nibud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4-8D7E-452F-9496-52C46CD0BB11}"/>
            </c:ext>
          </c:extLst>
        </c:ser>
        <c:ser>
          <c:idx val="5"/>
          <c:order val="5"/>
          <c:tx>
            <c:strRef>
              <c:f>'Marginale lasten'!$B$154</c:f>
              <c:strCache>
                <c:ptCount val="1"/>
                <c:pt idx="0">
                  <c:v>BIDyn-0 (light)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5-8D7E-452F-9496-52C46CD0BB11}"/>
            </c:ext>
          </c:extLst>
        </c:ser>
        <c:dLbls>
          <c:showLegendKey val="0"/>
          <c:showVal val="0"/>
          <c:showCatName val="0"/>
          <c:showSerName val="0"/>
          <c:showPercent val="0"/>
          <c:showBubbleSize val="0"/>
        </c:dLbls>
        <c:marker val="1"/>
        <c:smooth val="0"/>
        <c:axId val="637827600"/>
        <c:axId val="637827928"/>
      </c:lineChart>
      <c:catAx>
        <c:axId val="637827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928"/>
        <c:crosses val="autoZero"/>
        <c:auto val="1"/>
        <c:lblAlgn val="ctr"/>
        <c:lblOffset val="100"/>
        <c:noMultiLvlLbl val="0"/>
      </c:catAx>
      <c:valAx>
        <c:axId val="637827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600"/>
        <c:crosses val="autoZero"/>
        <c:crossBetween val="between"/>
      </c:valAx>
      <c:spPr>
        <a:noFill/>
        <a:ln>
          <a:noFill/>
        </a:ln>
        <a:effectLst/>
      </c:spPr>
    </c:plotArea>
    <c:legend>
      <c:legendPos val="r"/>
      <c:overlay val="0"/>
      <c:spPr>
        <a:noFill/>
        <a:ln>
          <a:solidFill>
            <a:schemeClr val="accent6">
              <a:lumMod val="7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a:t>
            </a:r>
            <a:r>
              <a:rPr lang="nl-NL" baseline="0"/>
              <a:t> op inkomen,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'Marginale lasten'!$B$150</c:f>
              <c:strCache>
                <c:ptCount val="1"/>
                <c:pt idx="0">
                  <c:v>Situatie NU</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yVal>
          <c:smooth val="1"/>
          <c:extLst>
            <c:ext xmlns:c16="http://schemas.microsoft.com/office/drawing/2014/chart" uri="{C3380CC4-5D6E-409C-BE32-E72D297353CC}">
              <c16:uniqueId val="{00000000-D073-4CAC-878B-9433E68C1254}"/>
            </c:ext>
          </c:extLst>
        </c:ser>
        <c:ser>
          <c:idx val="1"/>
          <c:order val="1"/>
          <c:tx>
            <c:strRef>
              <c:f>'Marginale lasten'!$B$148</c:f>
              <c:strCache>
                <c:ptCount val="1"/>
                <c:pt idx="0">
                  <c:v>CPB-Nibud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yVal>
          <c:smooth val="1"/>
          <c:extLst>
            <c:ext xmlns:c16="http://schemas.microsoft.com/office/drawing/2014/chart" uri="{C3380CC4-5D6E-409C-BE32-E72D297353CC}">
              <c16:uniqueId val="{00000001-D073-4CAC-878B-9433E68C1254}"/>
            </c:ext>
          </c:extLst>
        </c:ser>
        <c:ser>
          <c:idx val="2"/>
          <c:order val="2"/>
          <c:tx>
            <c:strRef>
              <c:f>'Marginale lasten'!$B$149</c:f>
              <c:strCache>
                <c:ptCount val="1"/>
                <c:pt idx="0">
                  <c:v>AONI</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'Marginale lasten'!$C$149:$L$149</c:f>
              <c:numCache>
                <c:formatCode>0</c:formatCode>
                <c:ptCount val="10"/>
                <c:pt idx="0">
                  <c:v>0</c:v>
                </c:pt>
                <c:pt idx="1">
                  <c:v>50</c:v>
                </c:pt>
                <c:pt idx="2">
                  <c:v>50</c:v>
                </c:pt>
                <c:pt idx="3">
                  <c:v>50</c:v>
                </c:pt>
                <c:pt idx="4">
                  <c:v>70</c:v>
                </c:pt>
                <c:pt idx="5">
                  <c:v>70</c:v>
                </c:pt>
                <c:pt idx="6">
                  <c:v>70</c:v>
                </c:pt>
                <c:pt idx="7">
                  <c:v>70</c:v>
                </c:pt>
                <c:pt idx="8">
                  <c:v>85</c:v>
                </c:pt>
                <c:pt idx="9">
                  <c:v>85</c:v>
                </c:pt>
              </c:numCache>
            </c:numRef>
          </c:yVal>
          <c:smooth val="1"/>
          <c:extLst>
            <c:ext xmlns:c16="http://schemas.microsoft.com/office/drawing/2014/chart" uri="{C3380CC4-5D6E-409C-BE32-E72D297353CC}">
              <c16:uniqueId val="{00000002-D073-4CAC-878B-9433E68C1254}"/>
            </c:ext>
          </c:extLst>
        </c:ser>
        <c:ser>
          <c:idx val="3"/>
          <c:order val="3"/>
          <c:tx>
            <c:strRef>
              <c:f>'Marginale lasten'!$B$156</c:f>
              <c:strCache>
                <c:ptCount val="1"/>
                <c:pt idx="0">
                  <c:v>AONI Plus1</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'Marginale lasten'!$C$156:$L$156</c:f>
              <c:numCache>
                <c:formatCode>General</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3-D073-4CAC-878B-9433E68C1254}"/>
            </c:ext>
          </c:extLst>
        </c:ser>
        <c:ser>
          <c:idx val="4"/>
          <c:order val="4"/>
          <c:tx>
            <c:strRef>
              <c:f>'Marginale lasten'!$B$157</c:f>
              <c:strCache>
                <c:ptCount val="1"/>
                <c:pt idx="0">
                  <c:v>AONI Plus2</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'Marginale lasten'!$C$157:$L$157</c:f>
              <c:numCache>
                <c:formatCode>General</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4-D073-4CAC-878B-9433E68C1254}"/>
            </c:ext>
          </c:extLst>
        </c:ser>
        <c:ser>
          <c:idx val="5"/>
          <c:order val="5"/>
          <c:tx>
            <c:strRef>
              <c:f>'Marginale lasten'!$B$151</c:f>
              <c:strCache>
                <c:ptCount val="1"/>
                <c:pt idx="0">
                  <c:v>BIDyn</c:v>
                </c:pt>
              </c:strCache>
            </c:strRef>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yVal>
          <c:smooth val="1"/>
          <c:extLst>
            <c:ext xmlns:c16="http://schemas.microsoft.com/office/drawing/2014/chart" uri="{C3380CC4-5D6E-409C-BE32-E72D297353CC}">
              <c16:uniqueId val="{00000005-D073-4CAC-878B-9433E68C1254}"/>
            </c:ext>
          </c:extLst>
        </c:ser>
        <c:dLbls>
          <c:showLegendKey val="0"/>
          <c:showVal val="0"/>
          <c:showCatName val="0"/>
          <c:showSerName val="0"/>
          <c:showPercent val="0"/>
          <c:showBubbleSize val="0"/>
        </c:dLbls>
        <c:axId val="571060400"/>
        <c:axId val="571057448"/>
      </c:scatterChart>
      <c:valAx>
        <c:axId val="571060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057448"/>
        <c:crosses val="autoZero"/>
        <c:crossBetween val="midCat"/>
      </c:valAx>
      <c:valAx>
        <c:axId val="571057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0604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t>Marginale lasten</a:t>
            </a:r>
          </a:p>
          <a:p>
            <a:pPr>
              <a:defRPr/>
            </a:pPr>
            <a:r>
              <a:rPr lang="nl-NL" sz="1600"/>
              <a:t>(door IB en</a:t>
            </a:r>
            <a:r>
              <a:rPr lang="nl-NL" sz="1600" baseline="0"/>
              <a:t> afname BIDyn)</a:t>
            </a:r>
            <a:endParaRPr lang="nl-NL"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914260717410336E-2"/>
          <c:y val="0.21289389771835521"/>
          <c:w val="0.8655433070866142"/>
          <c:h val="0.62287640671121081"/>
        </c:manualLayout>
      </c:layout>
      <c:lineChart>
        <c:grouping val="standard"/>
        <c:varyColors val="0"/>
        <c:ser>
          <c:idx val="0"/>
          <c:order val="0"/>
          <c:tx>
            <c:strRef>
              <c:f>'Marginale lasten'!$B$148</c:f>
              <c:strCache>
                <c:ptCount val="1"/>
                <c:pt idx="0">
                  <c:v>CPB-Nibud</c:v>
                </c:pt>
              </c:strCache>
            </c:strRef>
          </c:tx>
          <c:spPr>
            <a:ln w="19050" cap="rnd">
              <a:solidFill>
                <a:schemeClr val="tx1"/>
              </a:solidFill>
              <a:round/>
            </a:ln>
            <a:effectLst/>
          </c:spPr>
          <c:marker>
            <c:symbol val="circle"/>
            <c:size val="5"/>
            <c:spPr>
              <a:solidFill>
                <a:schemeClr val="tx1"/>
              </a:solidFill>
              <a:ln w="9525">
                <a:solidFill>
                  <a:schemeClr val="tx1"/>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0-90F2-4CC9-B89A-F1BBDAE0A52B}"/>
            </c:ext>
          </c:extLst>
        </c:ser>
        <c:ser>
          <c:idx val="1"/>
          <c:order val="1"/>
          <c:tx>
            <c:strRef>
              <c:f>'Marginale lasten'!$B$151</c:f>
              <c:strCache>
                <c:ptCount val="1"/>
                <c:pt idx="0">
                  <c:v>BIDyn</c:v>
                </c:pt>
              </c:strCache>
            </c:strRef>
          </c:tx>
          <c:spPr>
            <a:ln w="1905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1-90F2-4CC9-B89A-F1BBDAE0A52B}"/>
            </c:ext>
          </c:extLst>
        </c:ser>
        <c:ser>
          <c:idx val="2"/>
          <c:order val="2"/>
          <c:tx>
            <c:strRef>
              <c:f>'Marginale lasten'!$B$150</c:f>
              <c:strCache>
                <c:ptCount val="1"/>
                <c:pt idx="0">
                  <c:v>Situatie NU</c:v>
                </c:pt>
              </c:strCache>
            </c:strRef>
          </c:tx>
          <c:spPr>
            <a:ln w="19050"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2-90F2-4CC9-B89A-F1BBDAE0A52B}"/>
            </c:ext>
          </c:extLst>
        </c:ser>
        <c:ser>
          <c:idx val="3"/>
          <c:order val="3"/>
          <c:tx>
            <c:strRef>
              <c:f>'Marginale lasten'!$B$154</c:f>
              <c:strCache>
                <c:ptCount val="1"/>
                <c:pt idx="0">
                  <c:v>BIDyn-0 (light)</c:v>
                </c:pt>
              </c:strCache>
            </c:strRef>
          </c:tx>
          <c:spPr>
            <a:ln w="19050" cap="rnd">
              <a:solidFill>
                <a:srgbClr val="FF0000"/>
              </a:solidFill>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1-36C4-47DA-AD50-E23918734E87}"/>
            </c:ext>
          </c:extLst>
        </c:ser>
        <c:ser>
          <c:idx val="4"/>
          <c:order val="4"/>
          <c:tx>
            <c:strRef>
              <c:f>'Marginale lasten'!$B$149</c:f>
              <c:strCache>
                <c:ptCount val="1"/>
                <c:pt idx="0">
                  <c:v>AONI</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'Marginale lasten'!$C$149:$L$149</c:f>
              <c:numCache>
                <c:formatCode>0</c:formatCode>
                <c:ptCount val="10"/>
                <c:pt idx="0">
                  <c:v>0</c:v>
                </c:pt>
                <c:pt idx="1">
                  <c:v>50</c:v>
                </c:pt>
                <c:pt idx="2">
                  <c:v>50</c:v>
                </c:pt>
                <c:pt idx="3">
                  <c:v>50</c:v>
                </c:pt>
                <c:pt idx="4">
                  <c:v>70</c:v>
                </c:pt>
                <c:pt idx="5">
                  <c:v>70</c:v>
                </c:pt>
                <c:pt idx="6">
                  <c:v>70</c:v>
                </c:pt>
                <c:pt idx="7">
                  <c:v>70</c:v>
                </c:pt>
                <c:pt idx="8">
                  <c:v>85</c:v>
                </c:pt>
                <c:pt idx="9">
                  <c:v>85</c:v>
                </c:pt>
              </c:numCache>
            </c:numRef>
          </c:val>
          <c:smooth val="0"/>
          <c:extLst>
            <c:ext xmlns:c16="http://schemas.microsoft.com/office/drawing/2014/chart" uri="{C3380CC4-5D6E-409C-BE32-E72D297353CC}">
              <c16:uniqueId val="{00000001-FCCD-40EB-9DAB-6D535EAA7C5F}"/>
            </c:ext>
          </c:extLst>
        </c:ser>
        <c:dLbls>
          <c:showLegendKey val="0"/>
          <c:showVal val="0"/>
          <c:showCatName val="0"/>
          <c:showSerName val="0"/>
          <c:showPercent val="0"/>
          <c:showBubbleSize val="0"/>
        </c:dLbls>
        <c:marker val="1"/>
        <c:smooth val="0"/>
        <c:axId val="537035840"/>
        <c:axId val="537036496"/>
      </c:lineChart>
      <c:catAx>
        <c:axId val="537035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34783158355205596"/>
              <c:y val="0.90007718582210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6496"/>
        <c:crosses val="autoZero"/>
        <c:auto val="1"/>
        <c:lblAlgn val="ctr"/>
        <c:lblOffset val="100"/>
        <c:tickMarkSkip val="1"/>
        <c:noMultiLvlLbl val="0"/>
      </c:catAx>
      <c:valAx>
        <c:axId val="5370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2.2222222222222223E-2"/>
              <c:y val="4.4315828078490965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5840"/>
        <c:crosses val="autoZero"/>
        <c:crossBetween val="between"/>
      </c:valAx>
      <c:spPr>
        <a:noFill/>
        <a:ln>
          <a:noFill/>
        </a:ln>
        <a:effectLst/>
      </c:spPr>
    </c:plotArea>
    <c:legend>
      <c:legendPos val="r"/>
      <c:layout>
        <c:manualLayout>
          <c:xMode val="edge"/>
          <c:yMode val="edge"/>
          <c:x val="0.64601312335958005"/>
          <c:y val="0.52595357929309317"/>
          <c:w val="0.22401465441819776"/>
          <c:h val="0.3096559586166190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 van de BIDyn-bundel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46981627296588"/>
          <c:y val="0.19385012103209387"/>
          <c:w val="0.85297462817147851"/>
          <c:h val="0.60603703639687334"/>
        </c:manualLayout>
      </c:layout>
      <c:lineChart>
        <c:grouping val="standard"/>
        <c:varyColors val="0"/>
        <c:ser>
          <c:idx val="0"/>
          <c:order val="0"/>
          <c:tx>
            <c:strRef>
              <c:f>'Marginale lasten'!$B$151</c:f>
              <c:strCache>
                <c:ptCount val="1"/>
                <c:pt idx="0">
                  <c:v>BIDyn</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0-4433-4DCA-935D-EF6316CD6ADD}"/>
            </c:ext>
          </c:extLst>
        </c:ser>
        <c:ser>
          <c:idx val="1"/>
          <c:order val="1"/>
          <c:tx>
            <c:strRef>
              <c:f>'Marginale lasten'!$B$152</c:f>
              <c:strCache>
                <c:ptCount val="1"/>
                <c:pt idx="0">
                  <c:v>BIDyn-40</c:v>
                </c:pt>
              </c:strCache>
            </c:strRef>
          </c:tx>
          <c:spPr>
            <a:ln w="28575" cap="rnd">
              <a:solidFill>
                <a:schemeClr val="accent4">
                  <a:lumMod val="60000"/>
                  <a:lumOff val="40000"/>
                  <a:alpha val="96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'Marginale lasten'!$C$152:$L$152</c:f>
              <c:numCache>
                <c:formatCode>0</c:formatCode>
                <c:ptCount val="10"/>
                <c:pt idx="0">
                  <c:v>7.333333333333333</c:v>
                </c:pt>
                <c:pt idx="1">
                  <c:v>37.333333333333336</c:v>
                </c:pt>
                <c:pt idx="2">
                  <c:v>37.333333333333336</c:v>
                </c:pt>
                <c:pt idx="3">
                  <c:v>37.333333333333336</c:v>
                </c:pt>
                <c:pt idx="4">
                  <c:v>47.333333333333336</c:v>
                </c:pt>
                <c:pt idx="5">
                  <c:v>47.333333333333336</c:v>
                </c:pt>
                <c:pt idx="6">
                  <c:v>57.333333333333336</c:v>
                </c:pt>
                <c:pt idx="7">
                  <c:v>57.333333333333336</c:v>
                </c:pt>
                <c:pt idx="8">
                  <c:v>67.333333333333329</c:v>
                </c:pt>
                <c:pt idx="9">
                  <c:v>67.333333333333329</c:v>
                </c:pt>
              </c:numCache>
            </c:numRef>
          </c:val>
          <c:smooth val="0"/>
          <c:extLst>
            <c:ext xmlns:c16="http://schemas.microsoft.com/office/drawing/2014/chart" uri="{C3380CC4-5D6E-409C-BE32-E72D297353CC}">
              <c16:uniqueId val="{00000001-4433-4DCA-935D-EF6316CD6ADD}"/>
            </c:ext>
          </c:extLst>
        </c:ser>
        <c:ser>
          <c:idx val="2"/>
          <c:order val="2"/>
          <c:tx>
            <c:strRef>
              <c:f>'Marginale lasten'!$B$153</c:f>
              <c:strCache>
                <c:ptCount val="1"/>
                <c:pt idx="0">
                  <c:v>BIDyn-20</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val>
            <c:numRef>
              <c:f>'Marginale lasten'!$C$153:$L$153</c:f>
              <c:numCache>
                <c:formatCode>0</c:formatCode>
                <c:ptCount val="10"/>
                <c:pt idx="0">
                  <c:v>5.6666666666666661</c:v>
                </c:pt>
                <c:pt idx="1">
                  <c:v>37.666666666666664</c:v>
                </c:pt>
                <c:pt idx="2">
                  <c:v>37.666666666666664</c:v>
                </c:pt>
                <c:pt idx="3">
                  <c:v>37.666666666666664</c:v>
                </c:pt>
                <c:pt idx="4">
                  <c:v>47.666666666666664</c:v>
                </c:pt>
                <c:pt idx="5">
                  <c:v>47.666666666666664</c:v>
                </c:pt>
                <c:pt idx="6">
                  <c:v>57.666666666666664</c:v>
                </c:pt>
                <c:pt idx="7">
                  <c:v>57.666666666666664</c:v>
                </c:pt>
                <c:pt idx="8">
                  <c:v>67.666666666666671</c:v>
                </c:pt>
                <c:pt idx="9">
                  <c:v>67.666666666666671</c:v>
                </c:pt>
              </c:numCache>
            </c:numRef>
          </c:val>
          <c:smooth val="0"/>
          <c:extLst>
            <c:ext xmlns:c16="http://schemas.microsoft.com/office/drawing/2014/chart" uri="{C3380CC4-5D6E-409C-BE32-E72D297353CC}">
              <c16:uniqueId val="{00000002-4433-4DCA-935D-EF6316CD6ADD}"/>
            </c:ext>
          </c:extLst>
        </c:ser>
        <c:ser>
          <c:idx val="3"/>
          <c:order val="3"/>
          <c:tx>
            <c:strRef>
              <c:f>'Marginale lasten'!$B$154</c:f>
              <c:strCache>
                <c:ptCount val="1"/>
                <c:pt idx="0">
                  <c:v>BIDyn-0 (light)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3-4433-4DCA-935D-EF6316CD6ADD}"/>
            </c:ext>
          </c:extLst>
        </c:ser>
        <c:dLbls>
          <c:showLegendKey val="0"/>
          <c:showVal val="0"/>
          <c:showCatName val="0"/>
          <c:showSerName val="0"/>
          <c:showPercent val="0"/>
          <c:showBubbleSize val="0"/>
        </c:dLbls>
        <c:marker val="1"/>
        <c:smooth val="0"/>
        <c:axId val="687038720"/>
        <c:axId val="687040032"/>
      </c:lineChart>
      <c:catAx>
        <c:axId val="687038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Inkomensdecielen</a:t>
                </a:r>
              </a:p>
            </c:rich>
          </c:tx>
          <c:layout>
            <c:manualLayout>
              <c:xMode val="edge"/>
              <c:yMode val="edge"/>
              <c:x val="0.63915857392825892"/>
              <c:y val="0.868266380897588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40032"/>
        <c:crosses val="autoZero"/>
        <c:auto val="1"/>
        <c:lblAlgn val="ctr"/>
        <c:lblOffset val="100"/>
        <c:noMultiLvlLbl val="0"/>
      </c:catAx>
      <c:valAx>
        <c:axId val="687040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6.3888888888888884E-2"/>
              <c:y val="2.920326231082819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38720"/>
        <c:crosses val="autoZero"/>
        <c:crossBetween val="between"/>
      </c:valAx>
      <c:spPr>
        <a:noFill/>
        <a:ln>
          <a:noFill/>
        </a:ln>
        <a:effectLst/>
      </c:spPr>
    </c:plotArea>
    <c:legend>
      <c:legendPos val="r"/>
      <c:layout>
        <c:manualLayout>
          <c:xMode val="edge"/>
          <c:yMode val="edge"/>
          <c:x val="0.67874912510936125"/>
          <c:y val="0.45969779819189266"/>
          <c:w val="0.22895931758530183"/>
          <c:h val="0.28561547580256641"/>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t>Marginale lasten</a:t>
            </a:r>
          </a:p>
          <a:p>
            <a:pPr>
              <a:defRPr/>
            </a:pPr>
            <a:r>
              <a:rPr lang="nl-NL" sz="1600"/>
              <a:t>(door IB en</a:t>
            </a:r>
            <a:r>
              <a:rPr lang="nl-NL" sz="1600" baseline="0"/>
              <a:t> afname BIDyn)</a:t>
            </a:r>
            <a:endParaRPr lang="nl-NL"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914260717410336E-2"/>
          <c:y val="0.21289389771835521"/>
          <c:w val="0.8655433070866142"/>
          <c:h val="0.62287640671121081"/>
        </c:manualLayout>
      </c:layout>
      <c:lineChart>
        <c:grouping val="standard"/>
        <c:varyColors val="0"/>
        <c:ser>
          <c:idx val="0"/>
          <c:order val="0"/>
          <c:tx>
            <c:strRef>
              <c:f>'Marginale lasten'!$B$148</c:f>
              <c:strCache>
                <c:ptCount val="1"/>
                <c:pt idx="0">
                  <c:v>CPB-Nibud</c:v>
                </c:pt>
              </c:strCache>
            </c:strRef>
          </c:tx>
          <c:spPr>
            <a:ln w="19050" cap="rnd">
              <a:solidFill>
                <a:schemeClr val="tx1"/>
              </a:solidFill>
              <a:prstDash val="dashDot"/>
              <a:round/>
            </a:ln>
            <a:effectLst/>
          </c:spPr>
          <c:marker>
            <c:symbol val="circle"/>
            <c:size val="5"/>
            <c:spPr>
              <a:solidFill>
                <a:schemeClr val="tx1"/>
              </a:solidFill>
              <a:ln w="9525">
                <a:solidFill>
                  <a:schemeClr val="tx1"/>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0-5270-474A-BADE-25DD4AF33600}"/>
            </c:ext>
          </c:extLst>
        </c:ser>
        <c:ser>
          <c:idx val="1"/>
          <c:order val="1"/>
          <c:tx>
            <c:strRef>
              <c:f>'Marginale lasten'!$B$151</c:f>
              <c:strCache>
                <c:ptCount val="1"/>
                <c:pt idx="0">
                  <c:v>BIDyn</c:v>
                </c:pt>
              </c:strCache>
            </c:strRef>
          </c:tx>
          <c:spPr>
            <a:ln w="1905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1-5270-474A-BADE-25DD4AF33600}"/>
            </c:ext>
          </c:extLst>
        </c:ser>
        <c:ser>
          <c:idx val="2"/>
          <c:order val="2"/>
          <c:tx>
            <c:strRef>
              <c:f>'Marginale lasten'!$B$150</c:f>
              <c:strCache>
                <c:ptCount val="1"/>
                <c:pt idx="0">
                  <c:v>Situatie NU</c:v>
                </c:pt>
              </c:strCache>
            </c:strRef>
          </c:tx>
          <c:spPr>
            <a:ln w="19050" cap="rnd">
              <a:solidFill>
                <a:schemeClr val="accent6">
                  <a:lumMod val="75000"/>
                </a:schemeClr>
              </a:solidFill>
              <a:prstDash val="dash"/>
              <a:round/>
            </a:ln>
            <a:effectLst/>
          </c:spPr>
          <c:marker>
            <c:symbol val="circle"/>
            <c:size val="5"/>
            <c:spPr>
              <a:solidFill>
                <a:schemeClr val="accent6">
                  <a:lumMod val="75000"/>
                </a:schemeClr>
              </a:solidFill>
              <a:ln w="9525">
                <a:solidFill>
                  <a:schemeClr val="accent6">
                    <a:lumMod val="75000"/>
                  </a:schemeClr>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2-5270-474A-BADE-25DD4AF33600}"/>
            </c:ext>
          </c:extLst>
        </c:ser>
        <c:ser>
          <c:idx val="3"/>
          <c:order val="3"/>
          <c:tx>
            <c:strRef>
              <c:f>'Marginale lasten'!$B$154</c:f>
              <c:strCache>
                <c:ptCount val="1"/>
                <c:pt idx="0">
                  <c:v>BIDyn-0 (light)</c:v>
                </c:pt>
              </c:strCache>
            </c:strRef>
          </c:tx>
          <c:spPr>
            <a:ln w="19050" cap="rnd">
              <a:solidFill>
                <a:srgbClr val="FF0000"/>
              </a:solidFill>
              <a:prstDash val="sysDash"/>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3-5270-474A-BADE-25DD4AF33600}"/>
            </c:ext>
          </c:extLst>
        </c:ser>
        <c:ser>
          <c:idx val="4"/>
          <c:order val="4"/>
          <c:tx>
            <c:strRef>
              <c:f>'Marginale lasten'!$B$149</c:f>
              <c:strCache>
                <c:ptCount val="1"/>
                <c:pt idx="0">
                  <c:v>AONI</c:v>
                </c:pt>
              </c:strCache>
            </c:strRef>
          </c:tx>
          <c:spPr>
            <a:ln w="19050" cap="rnd">
              <a:solidFill>
                <a:schemeClr val="accent2"/>
              </a:solidFill>
              <a:prstDash val="lgDashDotDot"/>
              <a:round/>
            </a:ln>
            <a:effectLst/>
          </c:spPr>
          <c:marker>
            <c:symbol val="circle"/>
            <c:size val="5"/>
            <c:spPr>
              <a:solidFill>
                <a:schemeClr val="accent2"/>
              </a:solidFill>
              <a:ln w="9525">
                <a:solidFill>
                  <a:schemeClr val="accent2"/>
                </a:solidFill>
              </a:ln>
              <a:effectLst/>
            </c:spPr>
          </c:marker>
          <c:val>
            <c:numRef>
              <c:f>'Marginale lasten'!$C$149:$L$149</c:f>
              <c:numCache>
                <c:formatCode>0</c:formatCode>
                <c:ptCount val="10"/>
                <c:pt idx="0">
                  <c:v>0</c:v>
                </c:pt>
                <c:pt idx="1">
                  <c:v>50</c:v>
                </c:pt>
                <c:pt idx="2">
                  <c:v>50</c:v>
                </c:pt>
                <c:pt idx="3">
                  <c:v>50</c:v>
                </c:pt>
                <c:pt idx="4">
                  <c:v>70</c:v>
                </c:pt>
                <c:pt idx="5">
                  <c:v>70</c:v>
                </c:pt>
                <c:pt idx="6">
                  <c:v>70</c:v>
                </c:pt>
                <c:pt idx="7">
                  <c:v>70</c:v>
                </c:pt>
                <c:pt idx="8">
                  <c:v>85</c:v>
                </c:pt>
                <c:pt idx="9">
                  <c:v>85</c:v>
                </c:pt>
              </c:numCache>
            </c:numRef>
          </c:val>
          <c:smooth val="0"/>
          <c:extLst>
            <c:ext xmlns:c16="http://schemas.microsoft.com/office/drawing/2014/chart" uri="{C3380CC4-5D6E-409C-BE32-E72D297353CC}">
              <c16:uniqueId val="{00000004-5270-474A-BADE-25DD4AF33600}"/>
            </c:ext>
          </c:extLst>
        </c:ser>
        <c:dLbls>
          <c:showLegendKey val="0"/>
          <c:showVal val="0"/>
          <c:showCatName val="0"/>
          <c:showSerName val="0"/>
          <c:showPercent val="0"/>
          <c:showBubbleSize val="0"/>
        </c:dLbls>
        <c:marker val="1"/>
        <c:smooth val="0"/>
        <c:axId val="537035840"/>
        <c:axId val="537036496"/>
      </c:lineChart>
      <c:catAx>
        <c:axId val="537035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34783158355205596"/>
              <c:y val="0.90007718582210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6496"/>
        <c:crosses val="autoZero"/>
        <c:auto val="1"/>
        <c:lblAlgn val="ctr"/>
        <c:lblOffset val="100"/>
        <c:tickMarkSkip val="1"/>
        <c:noMultiLvlLbl val="0"/>
      </c:catAx>
      <c:valAx>
        <c:axId val="5370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2.2222222222222223E-2"/>
              <c:y val="4.4315828078490965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5840"/>
        <c:crosses val="autoZero"/>
        <c:crossBetween val="between"/>
      </c:valAx>
      <c:spPr>
        <a:noFill/>
        <a:ln>
          <a:noFill/>
        </a:ln>
        <a:effectLst/>
      </c:spPr>
    </c:plotArea>
    <c:legend>
      <c:legendPos val="r"/>
      <c:layout>
        <c:manualLayout>
          <c:xMode val="edge"/>
          <c:yMode val="edge"/>
          <c:x val="0.6266628212592984"/>
          <c:y val="0.53374578867896294"/>
          <c:w val="0.28483019442887536"/>
          <c:h val="0.306513918910710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1">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32AD-43F3-BE05-5857C90925C0}"/>
            </c:ext>
          </c:extLst>
        </c:ser>
        <c:ser>
          <c:idx val="1"/>
          <c:order val="1"/>
          <c:tx>
            <c:v>Nú, vóór invoering BI</c:v>
          </c:tx>
          <c:spPr>
            <a:ln w="19050" cap="rnd">
              <a:solidFill>
                <a:schemeClr val="accent6">
                  <a:lumMod val="75000"/>
                </a:schemeClr>
              </a:solidFill>
              <a:round/>
            </a:ln>
            <a:effectLst/>
          </c:spPr>
          <c:marker>
            <c:symbol val="circle"/>
            <c:size val="5"/>
            <c:spPr>
              <a:solidFill>
                <a:schemeClr val="accent6">
                  <a:lumMod val="75000"/>
                </a:schemeClr>
              </a:solidFill>
              <a:ln w="12700">
                <a:solidFill>
                  <a:schemeClr val="accent6">
                    <a:lumMod val="75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32AD-43F3-BE05-5857C90925C0}"/>
            </c:ext>
          </c:extLst>
        </c:ser>
        <c:ser>
          <c:idx val="2"/>
          <c:order val="2"/>
          <c:tx>
            <c:v>BIDyn-light</c:v>
          </c:tx>
          <c:spPr>
            <a:ln w="19050" cap="rnd">
              <a:solidFill>
                <a:srgbClr val="FF0000"/>
              </a:solidFill>
              <a:round/>
            </a:ln>
            <a:effectLst/>
          </c:spPr>
          <c:marker>
            <c:symbol val="circle"/>
            <c:size val="5"/>
            <c:spPr>
              <a:solidFill>
                <a:srgbClr val="FF0000"/>
              </a:solidFill>
              <a:ln w="9525">
                <a:solidFill>
                  <a:srgbClr val="FF0000"/>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32AD-43F3-BE05-5857C90925C0}"/>
            </c:ext>
          </c:extLst>
        </c:ser>
        <c:ser>
          <c:idx val="3"/>
          <c:order val="3"/>
          <c:tx>
            <c:v>AONI</c:v>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AONI!$B$106:$K$106</c:f>
              <c:numCache>
                <c:formatCode>0</c:formatCode>
                <c:ptCount val="10"/>
                <c:pt idx="0">
                  <c:v>3900</c:v>
                </c:pt>
                <c:pt idx="1">
                  <c:v>18714</c:v>
                </c:pt>
                <c:pt idx="2">
                  <c:v>21066</c:v>
                </c:pt>
                <c:pt idx="3">
                  <c:v>23130</c:v>
                </c:pt>
                <c:pt idx="4">
                  <c:v>25776</c:v>
                </c:pt>
                <c:pt idx="5">
                  <c:v>27846</c:v>
                </c:pt>
                <c:pt idx="6">
                  <c:v>30336</c:v>
                </c:pt>
                <c:pt idx="7">
                  <c:v>33276</c:v>
                </c:pt>
                <c:pt idx="8">
                  <c:v>35901</c:v>
                </c:pt>
                <c:pt idx="9">
                  <c:v>43296</c:v>
                </c:pt>
              </c:numCache>
            </c:numRef>
          </c:val>
          <c:smooth val="0"/>
          <c:extLst>
            <c:ext xmlns:c16="http://schemas.microsoft.com/office/drawing/2014/chart" uri="{C3380CC4-5D6E-409C-BE32-E72D297353CC}">
              <c16:uniqueId val="{00000003-32AD-43F3-BE05-5857C90925C0}"/>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30267716535433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Verandering Netto-Inkomen </a:t>
            </a:r>
            <a:br>
              <a:rPr lang="nl-NL"/>
            </a:br>
            <a:r>
              <a:rPr lang="nl-NL"/>
              <a:t>t.o.v. huidig Netto-Inkomen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23381452318461"/>
          <c:y val="0.23754787618144946"/>
          <c:w val="0.84454396325459313"/>
          <c:h val="0.61488217726474148"/>
        </c:manualLayout>
      </c:layout>
      <c:lineChart>
        <c:grouping val="standard"/>
        <c:varyColors val="0"/>
        <c:ser>
          <c:idx val="0"/>
          <c:order val="0"/>
          <c:tx>
            <c:strRef>
              <c:f>Samenvatting!$A$74</c:f>
              <c:strCache>
                <c:ptCount val="1"/>
                <c:pt idx="0">
                  <c:v>AONI</c:v>
                </c:pt>
              </c:strCache>
            </c:strRef>
          </c:tx>
          <c:spPr>
            <a:ln w="19050" cap="rnd">
              <a:solidFill>
                <a:schemeClr val="accent2"/>
              </a:solidFill>
              <a:prstDash val="lgDashDotDot"/>
              <a:round/>
            </a:ln>
            <a:effectLst/>
          </c:spPr>
          <c:marker>
            <c:symbol val="circle"/>
            <c:size val="5"/>
            <c:spPr>
              <a:solidFill>
                <a:schemeClr val="accent2"/>
              </a:solidFill>
              <a:ln w="9525">
                <a:solidFill>
                  <a:schemeClr val="accent2"/>
                </a:solidFill>
              </a:ln>
              <a:effectLst/>
            </c:spPr>
          </c:marker>
          <c:cat>
            <c:numRef>
              <c:f>Samenvatting!$B$73:$K$73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Samenvatting!$B$74:$K$74</c:f>
              <c:numCache>
                <c:formatCode>0</c:formatCode>
                <c:ptCount val="10"/>
                <c:pt idx="0">
                  <c:v>1500</c:v>
                </c:pt>
                <c:pt idx="1">
                  <c:v>9784.11</c:v>
                </c:pt>
                <c:pt idx="2">
                  <c:v>7763.9105199999995</c:v>
                </c:pt>
                <c:pt idx="3">
                  <c:v>5895.0445199999995</c:v>
                </c:pt>
                <c:pt idx="4">
                  <c:v>4167.5548799999997</c:v>
                </c:pt>
                <c:pt idx="5">
                  <c:v>2191.8088800000005</c:v>
                </c:pt>
                <c:pt idx="6">
                  <c:v>193.81007999999929</c:v>
                </c:pt>
                <c:pt idx="7">
                  <c:v>-1862.0339200000017</c:v>
                </c:pt>
                <c:pt idx="8">
                  <c:v>-6781.7779200000004</c:v>
                </c:pt>
                <c:pt idx="9">
                  <c:v>-22496.6005</c:v>
                </c:pt>
              </c:numCache>
            </c:numRef>
          </c:val>
          <c:smooth val="0"/>
          <c:extLst>
            <c:ext xmlns:c16="http://schemas.microsoft.com/office/drawing/2014/chart" uri="{C3380CC4-5D6E-409C-BE32-E72D297353CC}">
              <c16:uniqueId val="{00000000-E917-497F-9C27-8E4D5C0298CA}"/>
            </c:ext>
          </c:extLst>
        </c:ser>
        <c:ser>
          <c:idx val="1"/>
          <c:order val="1"/>
          <c:tx>
            <c:strRef>
              <c:f>Samenvatting!$A$75</c:f>
              <c:strCache>
                <c:ptCount val="1"/>
                <c:pt idx="0">
                  <c:v>BIDyn</c:v>
                </c:pt>
              </c:strCache>
            </c:strRef>
          </c:tx>
          <c:spPr>
            <a:ln w="1905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cat>
            <c:numRef>
              <c:f>Samenvatting!$B$73:$K$73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Samenvatting!$B$75:$K$75</c:f>
              <c:numCache>
                <c:formatCode>0</c:formatCode>
                <c:ptCount val="10"/>
                <c:pt idx="0">
                  <c:v>1500</c:v>
                </c:pt>
                <c:pt idx="1">
                  <c:v>9121.11</c:v>
                </c:pt>
                <c:pt idx="2">
                  <c:v>9196.2365200000004</c:v>
                </c:pt>
                <c:pt idx="3">
                  <c:v>7981.1425200000012</c:v>
                </c:pt>
                <c:pt idx="4">
                  <c:v>7303.278879999998</c:v>
                </c:pt>
                <c:pt idx="5">
                  <c:v>7176.1808800000035</c:v>
                </c:pt>
                <c:pt idx="6">
                  <c:v>7365.5100799999964</c:v>
                </c:pt>
                <c:pt idx="7">
                  <c:v>6858.0660799999969</c:v>
                </c:pt>
                <c:pt idx="8">
                  <c:v>6091.7220799999996</c:v>
                </c:pt>
                <c:pt idx="9">
                  <c:v>1261.7195000000065</c:v>
                </c:pt>
              </c:numCache>
            </c:numRef>
          </c:val>
          <c:smooth val="0"/>
          <c:extLst>
            <c:ext xmlns:c16="http://schemas.microsoft.com/office/drawing/2014/chart" uri="{C3380CC4-5D6E-409C-BE32-E72D297353CC}">
              <c16:uniqueId val="{00000001-E917-497F-9C27-8E4D5C0298CA}"/>
            </c:ext>
          </c:extLst>
        </c:ser>
        <c:ser>
          <c:idx val="2"/>
          <c:order val="2"/>
          <c:tx>
            <c:strRef>
              <c:f>Samenvatting!$A$76</c:f>
              <c:strCache>
                <c:ptCount val="1"/>
                <c:pt idx="0">
                  <c:v>BIDyn-light</c:v>
                </c:pt>
              </c:strCache>
            </c:strRef>
          </c:tx>
          <c:spPr>
            <a:ln w="19050" cap="rnd">
              <a:solidFill>
                <a:srgbClr val="FF0000"/>
              </a:solidFill>
              <a:prstDash val="sysDash"/>
              <a:round/>
            </a:ln>
            <a:effectLst/>
          </c:spPr>
          <c:marker>
            <c:symbol val="circle"/>
            <c:size val="5"/>
            <c:spPr>
              <a:solidFill>
                <a:srgbClr val="FF0000"/>
              </a:solidFill>
              <a:ln w="9525">
                <a:solidFill>
                  <a:srgbClr val="FF0000"/>
                </a:solidFill>
              </a:ln>
              <a:effectLst/>
            </c:spPr>
          </c:marker>
          <c:cat>
            <c:numRef>
              <c:f>Samenvatting!$B$73:$K$73</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Samenvatting!$B$76:$K$76</c:f>
              <c:numCache>
                <c:formatCode>0</c:formatCode>
                <c:ptCount val="10"/>
                <c:pt idx="0">
                  <c:v>1500</c:v>
                </c:pt>
                <c:pt idx="1">
                  <c:v>5043.2940000000017</c:v>
                </c:pt>
                <c:pt idx="2">
                  <c:v>4268.4065199999986</c:v>
                </c:pt>
                <c:pt idx="3">
                  <c:v>2966.4525199999989</c:v>
                </c:pt>
                <c:pt idx="4">
                  <c:v>2055.4748799999979</c:v>
                </c:pt>
                <c:pt idx="5">
                  <c:v>1967.5688799999989</c:v>
                </c:pt>
                <c:pt idx="6">
                  <c:v>1466.01008</c:v>
                </c:pt>
                <c:pt idx="7">
                  <c:v>1154.5660799999969</c:v>
                </c:pt>
                <c:pt idx="8">
                  <c:v>31.822079999998095</c:v>
                </c:pt>
                <c:pt idx="9">
                  <c:v>-8938.7604999999967</c:v>
                </c:pt>
              </c:numCache>
            </c:numRef>
          </c:val>
          <c:smooth val="0"/>
          <c:extLst>
            <c:ext xmlns:c16="http://schemas.microsoft.com/office/drawing/2014/chart" uri="{C3380CC4-5D6E-409C-BE32-E72D297353CC}">
              <c16:uniqueId val="{00000002-E917-497F-9C27-8E4D5C0298CA}"/>
            </c:ext>
          </c:extLst>
        </c:ser>
        <c:dLbls>
          <c:showLegendKey val="0"/>
          <c:showVal val="0"/>
          <c:showCatName val="0"/>
          <c:showSerName val="0"/>
          <c:showPercent val="0"/>
          <c:showBubbleSize val="0"/>
        </c:dLbls>
        <c:marker val="1"/>
        <c:smooth val="0"/>
        <c:axId val="605089096"/>
        <c:axId val="605092704"/>
      </c:lineChart>
      <c:catAx>
        <c:axId val="605089096"/>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Inkomensdecielen</a:t>
                </a:r>
              </a:p>
            </c:rich>
          </c:tx>
          <c:layout>
            <c:manualLayout>
              <c:xMode val="edge"/>
              <c:yMode val="edge"/>
              <c:x val="0.49011679790026247"/>
              <c:y val="0.890830091897968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605092704"/>
        <c:crosses val="max"/>
        <c:auto val="1"/>
        <c:lblAlgn val="ctr"/>
        <c:lblOffset val="100"/>
        <c:noMultiLvlLbl val="0"/>
      </c:catAx>
      <c:valAx>
        <c:axId val="605092704"/>
        <c:scaling>
          <c:orientation val="minMax"/>
          <c:max val="10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6111111111111108E-2"/>
              <c:y val="5.385306941363893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089096"/>
        <c:crossesAt val="1"/>
        <c:crossBetween val="between"/>
      </c:valAx>
      <c:spPr>
        <a:noFill/>
        <a:ln>
          <a:noFill/>
        </a:ln>
        <a:effectLst/>
      </c:spPr>
    </c:plotArea>
    <c:legend>
      <c:legendPos val="r"/>
      <c:layout>
        <c:manualLayout>
          <c:xMode val="edge"/>
          <c:yMode val="edge"/>
          <c:x val="0.37418607698614825"/>
          <c:y val="0.47976286158132381"/>
          <c:w val="0.19547309711286093"/>
          <c:h val="0.284443306300705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nl-NL">
                <a:solidFill>
                  <a:schemeClr val="tx1"/>
                </a:solidFill>
              </a:rPr>
              <a:t>Tarieven IB-Schijven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1900911118165827"/>
          <c:y val="9.8774475514023172E-2"/>
          <c:w val="0.83076633909207287"/>
          <c:h val="0.71362712918288418"/>
        </c:manualLayout>
      </c:layout>
      <c:barChart>
        <c:barDir val="bar"/>
        <c:grouping val="stacked"/>
        <c:varyColors val="0"/>
        <c:ser>
          <c:idx val="0"/>
          <c:order val="0"/>
          <c:spPr>
            <a:solidFill>
              <a:schemeClr val="accent1"/>
            </a:solidFill>
            <a:ln>
              <a:noFill/>
            </a:ln>
            <a:effectLst/>
          </c:spPr>
          <c:invertIfNegative val="0"/>
          <c:cat>
            <c:strRef>
              <c:f>Samenvatting!$E$17:$G$17</c:f>
              <c:strCache>
                <c:ptCount val="3"/>
                <c:pt idx="0">
                  <c:v>BIDyn-light</c:v>
                </c:pt>
                <c:pt idx="1">
                  <c:v>BIDyn</c:v>
                </c:pt>
                <c:pt idx="2">
                  <c:v>AONI</c:v>
                </c:pt>
              </c:strCache>
            </c:strRef>
          </c:cat>
          <c:val>
            <c:numRef>
              <c:f>Samenvatting!$E$18:$G$18</c:f>
              <c:numCache>
                <c:formatCode>General</c:formatCode>
                <c:ptCount val="3"/>
                <c:pt idx="0">
                  <c:v>12602</c:v>
                </c:pt>
                <c:pt idx="1">
                  <c:v>12601</c:v>
                </c:pt>
                <c:pt idx="2">
                  <c:v>12600</c:v>
                </c:pt>
              </c:numCache>
            </c:numRef>
          </c:val>
          <c:extLst>
            <c:ext xmlns:c16="http://schemas.microsoft.com/office/drawing/2014/chart" uri="{C3380CC4-5D6E-409C-BE32-E72D297353CC}">
              <c16:uniqueId val="{00000000-91B9-4662-9AEE-2108A81FFE47}"/>
            </c:ext>
          </c:extLst>
        </c:ser>
        <c:ser>
          <c:idx val="1"/>
          <c:order val="1"/>
          <c:spPr>
            <a:solidFill>
              <a:schemeClr val="accent2"/>
            </a:solidFill>
            <a:ln>
              <a:noFill/>
            </a:ln>
            <a:effectLst/>
          </c:spPr>
          <c:invertIfNegative val="0"/>
          <c:cat>
            <c:strRef>
              <c:f>Samenvatting!$E$17:$G$17</c:f>
              <c:strCache>
                <c:ptCount val="3"/>
                <c:pt idx="0">
                  <c:v>BIDyn-light</c:v>
                </c:pt>
                <c:pt idx="1">
                  <c:v>BIDyn</c:v>
                </c:pt>
                <c:pt idx="2">
                  <c:v>AONI</c:v>
                </c:pt>
              </c:strCache>
            </c:strRef>
          </c:cat>
          <c:val>
            <c:numRef>
              <c:f>Samenvatting!$E$19:$G$19</c:f>
              <c:numCache>
                <c:formatCode>General</c:formatCode>
                <c:ptCount val="3"/>
                <c:pt idx="0">
                  <c:v>12400</c:v>
                </c:pt>
                <c:pt idx="1">
                  <c:v>22400</c:v>
                </c:pt>
                <c:pt idx="2">
                  <c:v>7400</c:v>
                </c:pt>
              </c:numCache>
            </c:numRef>
          </c:val>
          <c:extLst>
            <c:ext xmlns:c16="http://schemas.microsoft.com/office/drawing/2014/chart" uri="{C3380CC4-5D6E-409C-BE32-E72D297353CC}">
              <c16:uniqueId val="{00000001-91B9-4662-9AEE-2108A81FFE47}"/>
            </c:ext>
          </c:extLst>
        </c:ser>
        <c:ser>
          <c:idx val="2"/>
          <c:order val="2"/>
          <c:spPr>
            <a:solidFill>
              <a:schemeClr val="accent3"/>
            </a:solidFill>
            <a:ln>
              <a:noFill/>
            </a:ln>
            <a:effectLst/>
          </c:spPr>
          <c:invertIfNegative val="0"/>
          <c:cat>
            <c:strRef>
              <c:f>Samenvatting!$E$17:$G$17</c:f>
              <c:strCache>
                <c:ptCount val="3"/>
                <c:pt idx="0">
                  <c:v>BIDyn-light</c:v>
                </c:pt>
                <c:pt idx="1">
                  <c:v>BIDyn</c:v>
                </c:pt>
                <c:pt idx="2">
                  <c:v>AONI</c:v>
                </c:pt>
              </c:strCache>
            </c:strRef>
          </c:cat>
          <c:val>
            <c:numRef>
              <c:f>Samenvatting!$E$20:$G$20</c:f>
              <c:numCache>
                <c:formatCode>General</c:formatCode>
                <c:ptCount val="3"/>
                <c:pt idx="0">
                  <c:v>12000</c:v>
                </c:pt>
                <c:pt idx="1">
                  <c:v>15000</c:v>
                </c:pt>
                <c:pt idx="2">
                  <c:v>16000</c:v>
                </c:pt>
              </c:numCache>
            </c:numRef>
          </c:val>
          <c:extLst>
            <c:ext xmlns:c16="http://schemas.microsoft.com/office/drawing/2014/chart" uri="{C3380CC4-5D6E-409C-BE32-E72D297353CC}">
              <c16:uniqueId val="{00000002-91B9-4662-9AEE-2108A81FFE47}"/>
            </c:ext>
          </c:extLst>
        </c:ser>
        <c:ser>
          <c:idx val="3"/>
          <c:order val="3"/>
          <c:spPr>
            <a:solidFill>
              <a:schemeClr val="accent4"/>
            </a:solidFill>
            <a:ln>
              <a:noFill/>
            </a:ln>
            <a:effectLst/>
          </c:spPr>
          <c:invertIfNegative val="0"/>
          <c:cat>
            <c:strRef>
              <c:f>Samenvatting!$E$17:$G$17</c:f>
              <c:strCache>
                <c:ptCount val="3"/>
                <c:pt idx="0">
                  <c:v>BIDyn-light</c:v>
                </c:pt>
                <c:pt idx="1">
                  <c:v>BIDyn</c:v>
                </c:pt>
                <c:pt idx="2">
                  <c:v>AONI</c:v>
                </c:pt>
              </c:strCache>
            </c:strRef>
          </c:cat>
          <c:val>
            <c:numRef>
              <c:f>Samenvatting!$E$21:$G$21</c:f>
              <c:numCache>
                <c:formatCode>General</c:formatCode>
                <c:ptCount val="3"/>
                <c:pt idx="0">
                  <c:v>28000</c:v>
                </c:pt>
                <c:pt idx="1">
                  <c:v>25000</c:v>
                </c:pt>
                <c:pt idx="2">
                  <c:v>29000</c:v>
                </c:pt>
              </c:numCache>
            </c:numRef>
          </c:val>
          <c:extLst>
            <c:ext xmlns:c16="http://schemas.microsoft.com/office/drawing/2014/chart" uri="{C3380CC4-5D6E-409C-BE32-E72D297353CC}">
              <c16:uniqueId val="{00000003-91B9-4662-9AEE-2108A81FFE47}"/>
            </c:ext>
          </c:extLst>
        </c:ser>
        <c:ser>
          <c:idx val="4"/>
          <c:order val="4"/>
          <c:spPr>
            <a:solidFill>
              <a:schemeClr val="accent5"/>
            </a:solidFill>
            <a:ln>
              <a:noFill/>
            </a:ln>
            <a:effectLst/>
          </c:spPr>
          <c:invertIfNegative val="0"/>
          <c:cat>
            <c:strRef>
              <c:f>Samenvatting!$E$17:$G$17</c:f>
              <c:strCache>
                <c:ptCount val="3"/>
                <c:pt idx="0">
                  <c:v>BIDyn-light</c:v>
                </c:pt>
                <c:pt idx="1">
                  <c:v>BIDyn</c:v>
                </c:pt>
                <c:pt idx="2">
                  <c:v>AONI</c:v>
                </c:pt>
              </c:strCache>
            </c:strRef>
          </c:cat>
          <c:val>
            <c:numRef>
              <c:f>Samenvatting!$E$22:$G$22</c:f>
              <c:numCache>
                <c:formatCode>General</c:formatCode>
                <c:ptCount val="3"/>
                <c:pt idx="0">
                  <c:v>35000</c:v>
                </c:pt>
                <c:pt idx="1">
                  <c:v>25000</c:v>
                </c:pt>
                <c:pt idx="2">
                  <c:v>35000</c:v>
                </c:pt>
              </c:numCache>
            </c:numRef>
          </c:val>
          <c:extLst>
            <c:ext xmlns:c16="http://schemas.microsoft.com/office/drawing/2014/chart" uri="{C3380CC4-5D6E-409C-BE32-E72D297353CC}">
              <c16:uniqueId val="{00000004-91B9-4662-9AEE-2108A81FFE47}"/>
            </c:ext>
          </c:extLst>
        </c:ser>
        <c:dLbls>
          <c:showLegendKey val="0"/>
          <c:showVal val="0"/>
          <c:showCatName val="0"/>
          <c:showSerName val="0"/>
          <c:showPercent val="0"/>
          <c:showBubbleSize val="0"/>
        </c:dLbls>
        <c:gapWidth val="150"/>
        <c:overlap val="100"/>
        <c:axId val="607603032"/>
        <c:axId val="607596800"/>
      </c:barChart>
      <c:catAx>
        <c:axId val="607603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crossAx val="607596800"/>
        <c:crosses val="autoZero"/>
        <c:auto val="0"/>
        <c:lblAlgn val="ctr"/>
        <c:lblOffset val="100"/>
        <c:noMultiLvlLbl val="0"/>
      </c:catAx>
      <c:valAx>
        <c:axId val="607596800"/>
        <c:scaling>
          <c:orientation val="minMax"/>
          <c:max val="10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07603032"/>
        <c:crosses val="autoZero"/>
        <c:crossBetween val="between"/>
        <c:majorUnit val="20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nl-NL"/>
              <a:t>Persoonlijk Nettoinkomen Werkenden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n-US"/>
        </a:p>
      </c:txPr>
    </c:title>
    <c:autoTitleDeleted val="0"/>
    <c:plotArea>
      <c:layout>
        <c:manualLayout>
          <c:layoutTarget val="inner"/>
          <c:xMode val="edge"/>
          <c:yMode val="edge"/>
          <c:x val="0.16348385531870657"/>
          <c:y val="0.14088825751836337"/>
          <c:w val="0.76082108486439193"/>
          <c:h val="0.71133662492210437"/>
        </c:manualLayout>
      </c:layout>
      <c:lineChart>
        <c:grouping val="standard"/>
        <c:varyColors val="0"/>
        <c:ser>
          <c:idx val="1"/>
          <c:order val="0"/>
          <c:tx>
            <c:v>Nu, dus zónder basisinkomen</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AONI!$B$41:$K$41</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2-74E2-453B-9C7D-A0CAEAAB2401}"/>
            </c:ext>
          </c:extLst>
        </c:ser>
        <c:ser>
          <c:idx val="0"/>
          <c:order val="1"/>
          <c:tx>
            <c:strRef>
              <c:f>AONI!$A$107</c:f>
              <c:strCache>
                <c:ptCount val="1"/>
                <c:pt idx="0">
                  <c:v>Trendlijn</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trendline>
            <c:spPr>
              <a:ln w="25400" cap="rnd">
                <a:solidFill>
                  <a:schemeClr val="tx1"/>
                </a:solidFill>
                <a:prstDash val="sysDot"/>
              </a:ln>
              <a:effectLst/>
            </c:spPr>
            <c:trendlineType val="linear"/>
            <c:forward val="0.5"/>
            <c:backward val="0.5"/>
            <c:dispRSqr val="1"/>
            <c:dispEq val="1"/>
            <c:trendlineLbl>
              <c:layout>
                <c:manualLayout>
                  <c:x val="-0.394898664890382"/>
                  <c:y val="-7.553027599646493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trendlineLbl>
          </c:trendline>
          <c:val>
            <c:numRef>
              <c:f>AONI!$B$107:$K$107</c:f>
              <c:numCache>
                <c:formatCode>0</c:formatCode>
                <c:ptCount val="10"/>
                <c:pt idx="1">
                  <c:v>18714</c:v>
                </c:pt>
                <c:pt idx="2">
                  <c:v>21066</c:v>
                </c:pt>
                <c:pt idx="3">
                  <c:v>23130</c:v>
                </c:pt>
                <c:pt idx="4">
                  <c:v>25776</c:v>
                </c:pt>
                <c:pt idx="5">
                  <c:v>27846</c:v>
                </c:pt>
                <c:pt idx="6">
                  <c:v>30336</c:v>
                </c:pt>
                <c:pt idx="7">
                  <c:v>33276</c:v>
                </c:pt>
                <c:pt idx="8">
                  <c:v>35901</c:v>
                </c:pt>
              </c:numCache>
            </c:numRef>
          </c:val>
          <c:smooth val="0"/>
          <c:extLst>
            <c:ext xmlns:c16="http://schemas.microsoft.com/office/drawing/2014/chart" uri="{C3380CC4-5D6E-409C-BE32-E72D297353CC}">
              <c16:uniqueId val="{00000008-774D-48E8-9D3E-31AA82FAB05D}"/>
            </c:ext>
          </c:extLst>
        </c:ser>
        <c:ser>
          <c:idx val="2"/>
          <c:order val="2"/>
          <c:tx>
            <c:strRef>
              <c:f>AONI!$A$106</c:f>
              <c:strCache>
                <c:ptCount val="1"/>
                <c:pt idx="0">
                  <c:v>Na invoering basisinkomen</c:v>
                </c:pt>
              </c:strCache>
            </c:strRef>
          </c:tx>
          <c:spPr>
            <a:ln w="28575" cap="rnd">
              <a:solidFill>
                <a:srgbClr val="00B050"/>
              </a:solidFill>
              <a:round/>
            </a:ln>
            <a:effectLst/>
          </c:spPr>
          <c:marker>
            <c:symbol val="circle"/>
            <c:size val="5"/>
            <c:spPr>
              <a:solidFill>
                <a:srgbClr val="00B050"/>
              </a:solidFill>
              <a:ln w="9525">
                <a:solidFill>
                  <a:schemeClr val="accent3"/>
                </a:solidFill>
              </a:ln>
              <a:effectLst/>
            </c:spPr>
          </c:marker>
          <c:val>
            <c:numRef>
              <c:f>AONI!$B$106:$K$106</c:f>
              <c:numCache>
                <c:formatCode>0</c:formatCode>
                <c:ptCount val="10"/>
                <c:pt idx="0">
                  <c:v>3900</c:v>
                </c:pt>
                <c:pt idx="1">
                  <c:v>18714</c:v>
                </c:pt>
                <c:pt idx="2">
                  <c:v>21066</c:v>
                </c:pt>
                <c:pt idx="3">
                  <c:v>23130</c:v>
                </c:pt>
                <c:pt idx="4">
                  <c:v>25776</c:v>
                </c:pt>
                <c:pt idx="5">
                  <c:v>27846</c:v>
                </c:pt>
                <c:pt idx="6">
                  <c:v>30336</c:v>
                </c:pt>
                <c:pt idx="7">
                  <c:v>33276</c:v>
                </c:pt>
                <c:pt idx="8">
                  <c:v>35901</c:v>
                </c:pt>
                <c:pt idx="9">
                  <c:v>43296</c:v>
                </c:pt>
              </c:numCache>
            </c:numRef>
          </c:val>
          <c:smooth val="0"/>
          <c:extLst>
            <c:ext xmlns:c16="http://schemas.microsoft.com/office/drawing/2014/chart" uri="{C3380CC4-5D6E-409C-BE32-E72D297353CC}">
              <c16:uniqueId val="{0000000E-774D-48E8-9D3E-31AA82FAB05D}"/>
            </c:ext>
          </c:extLst>
        </c:ser>
        <c:dLbls>
          <c:showLegendKey val="0"/>
          <c:showVal val="0"/>
          <c:showCatName val="0"/>
          <c:showSerName val="0"/>
          <c:showPercent val="0"/>
          <c:showBubbleSize val="0"/>
        </c:dLbls>
        <c:marker val="1"/>
        <c:smooth val="0"/>
        <c:axId val="573332200"/>
        <c:axId val="573330232"/>
      </c:lineChart>
      <c:catAx>
        <c:axId val="5733322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r>
                  <a:rPr lang="nl-NL" sz="1100"/>
                  <a:t>Deciel (verdeling in 10 groepen met gelijk aantal personen)</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573330232"/>
        <c:crosses val="autoZero"/>
        <c:auto val="1"/>
        <c:lblAlgn val="ctr"/>
        <c:lblOffset val="100"/>
        <c:noMultiLvlLbl val="0"/>
      </c:catAx>
      <c:valAx>
        <c:axId val="573330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800" b="0" i="0" u="none" strike="noStrike" kern="1200" baseline="0">
                    <a:solidFill>
                      <a:schemeClr val="tx1">
                        <a:lumMod val="95000"/>
                        <a:lumOff val="5000"/>
                      </a:schemeClr>
                    </a:solidFill>
                    <a:latin typeface="+mn-lt"/>
                    <a:ea typeface="+mn-ea"/>
                    <a:cs typeface="+mn-cs"/>
                  </a:defRPr>
                </a:pPr>
                <a:r>
                  <a:rPr lang="en-US" sz="1800"/>
                  <a:t> €</a:t>
                </a:r>
              </a:p>
            </c:rich>
          </c:tx>
          <c:layout>
            <c:manualLayout>
              <c:xMode val="edge"/>
              <c:yMode val="edge"/>
              <c:x val="3.0027063053370402E-2"/>
              <c:y val="5.0750717563813295E-2"/>
            </c:manualLayout>
          </c:layout>
          <c:overlay val="0"/>
          <c:spPr>
            <a:noFill/>
            <a:ln>
              <a:noFill/>
            </a:ln>
            <a:effectLst/>
          </c:spPr>
          <c:txPr>
            <a:bodyPr rot="0" spcFirstLastPara="1" vertOverflow="ellipsis" wrap="square" anchor="ctr" anchorCtr="1"/>
            <a:lstStyle/>
            <a:p>
              <a:pPr>
                <a:defRPr sz="1800" b="0" i="0" u="none" strike="noStrike" kern="1200" baseline="0">
                  <a:solidFill>
                    <a:schemeClr val="tx1">
                      <a:lumMod val="95000"/>
                      <a:lumOff val="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573332200"/>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Entry>
      <c:legendEntry>
        <c:idx val="1"/>
        <c:delete val="1"/>
      </c:legendEntry>
      <c:legendEntry>
        <c:idx val="2"/>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Entry>
      <c:legendEntry>
        <c:idx val="3"/>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Entry>
      <c:layout>
        <c:manualLayout>
          <c:xMode val="edge"/>
          <c:yMode val="edge"/>
          <c:x val="0.1675533030206493"/>
          <c:y val="0.17725012848335223"/>
          <c:w val="0.34216061861044339"/>
          <c:h val="0.25598336612158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1">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32AD-43F3-BE05-5857C90925C0}"/>
            </c:ext>
          </c:extLst>
        </c:ser>
        <c:ser>
          <c:idx val="1"/>
          <c:order val="1"/>
          <c:tx>
            <c:v>Nú, vóór invoering BI</c:v>
          </c:tx>
          <c:spPr>
            <a:ln w="19050" cap="rnd">
              <a:solidFill>
                <a:schemeClr val="accent6">
                  <a:lumMod val="75000"/>
                </a:schemeClr>
              </a:solidFill>
              <a:prstDash val="dash"/>
              <a:round/>
            </a:ln>
            <a:effectLst/>
          </c:spPr>
          <c:marker>
            <c:symbol val="circle"/>
            <c:size val="5"/>
            <c:spPr>
              <a:solidFill>
                <a:schemeClr val="accent6">
                  <a:lumMod val="75000"/>
                </a:schemeClr>
              </a:solidFill>
              <a:ln w="12700">
                <a:solidFill>
                  <a:schemeClr val="accent6">
                    <a:lumMod val="75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32AD-43F3-BE05-5857C90925C0}"/>
            </c:ext>
          </c:extLst>
        </c:ser>
        <c:ser>
          <c:idx val="2"/>
          <c:order val="2"/>
          <c:tx>
            <c:v>BIDyn-light</c:v>
          </c:tx>
          <c:spPr>
            <a:ln w="19050" cap="rnd">
              <a:solidFill>
                <a:srgbClr val="FF0000"/>
              </a:solidFill>
              <a:prstDash val="sysDash"/>
              <a:round/>
            </a:ln>
            <a:effectLst/>
          </c:spPr>
          <c:marker>
            <c:symbol val="circle"/>
            <c:size val="5"/>
            <c:spPr>
              <a:solidFill>
                <a:srgbClr val="FF0000"/>
              </a:solidFill>
              <a:ln w="9525">
                <a:solidFill>
                  <a:srgbClr val="FF0000"/>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2-32AD-43F3-BE05-5857C90925C0}"/>
            </c:ext>
          </c:extLst>
        </c:ser>
        <c:ser>
          <c:idx val="3"/>
          <c:order val="3"/>
          <c:tx>
            <c:v>AONI</c:v>
          </c:tx>
          <c:spPr>
            <a:ln w="19050" cap="rnd">
              <a:solidFill>
                <a:schemeClr val="accent2"/>
              </a:solidFill>
              <a:prstDash val="lgDashDotDot"/>
              <a:round/>
            </a:ln>
            <a:effectLst/>
          </c:spPr>
          <c:marker>
            <c:symbol val="circle"/>
            <c:size val="5"/>
            <c:spPr>
              <a:solidFill>
                <a:schemeClr val="accent2"/>
              </a:solidFill>
              <a:ln w="9525">
                <a:solidFill>
                  <a:schemeClr val="accent2"/>
                </a:solidFill>
              </a:ln>
              <a:effectLst/>
            </c:spPr>
          </c:marker>
          <c:val>
            <c:numRef>
              <c:f>AONI!$B$106:$K$106</c:f>
              <c:numCache>
                <c:formatCode>0</c:formatCode>
                <c:ptCount val="10"/>
                <c:pt idx="0">
                  <c:v>3900</c:v>
                </c:pt>
                <c:pt idx="1">
                  <c:v>18714</c:v>
                </c:pt>
                <c:pt idx="2">
                  <c:v>21066</c:v>
                </c:pt>
                <c:pt idx="3">
                  <c:v>23130</c:v>
                </c:pt>
                <c:pt idx="4">
                  <c:v>25776</c:v>
                </c:pt>
                <c:pt idx="5">
                  <c:v>27846</c:v>
                </c:pt>
                <c:pt idx="6">
                  <c:v>30336</c:v>
                </c:pt>
                <c:pt idx="7">
                  <c:v>33276</c:v>
                </c:pt>
                <c:pt idx="8">
                  <c:v>35901</c:v>
                </c:pt>
                <c:pt idx="9">
                  <c:v>43296</c:v>
                </c:pt>
              </c:numCache>
            </c:numRef>
          </c:val>
          <c:smooth val="0"/>
          <c:extLst>
            <c:ext xmlns:c16="http://schemas.microsoft.com/office/drawing/2014/chart" uri="{C3380CC4-5D6E-409C-BE32-E72D297353CC}">
              <c16:uniqueId val="{00000003-32AD-43F3-BE05-5857C90925C0}"/>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7760318660927578"/>
          <c:h val="0.30267716535433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Verandering in Netto-Inkomen BIDyn-vormen</a:t>
            </a:r>
          </a:p>
          <a:p>
            <a:pPr>
              <a:defRPr/>
            </a:pPr>
            <a:r>
              <a:rPr lang="nl-NL"/>
              <a:t>t.o.v. huidig Netto-Inkomen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23381452318461"/>
          <c:y val="0.24895729324756014"/>
          <c:w val="0.85721062992125985"/>
          <c:h val="0.57776882560869269"/>
        </c:manualLayout>
      </c:layout>
      <c:lineChart>
        <c:grouping val="standard"/>
        <c:varyColors val="0"/>
        <c:ser>
          <c:idx val="0"/>
          <c:order val="0"/>
          <c:tx>
            <c:strRef>
              <c:f>Samenvatting!$A$85</c:f>
              <c:strCache>
                <c:ptCount val="1"/>
                <c:pt idx="0">
                  <c:v>BIDyn-60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Samenvatting!$B$85:$K$85</c:f>
              <c:numCache>
                <c:formatCode>0</c:formatCode>
                <c:ptCount val="10"/>
                <c:pt idx="0">
                  <c:v>1500</c:v>
                </c:pt>
                <c:pt idx="1">
                  <c:v>9121.11</c:v>
                </c:pt>
                <c:pt idx="2">
                  <c:v>9196.2365200000004</c:v>
                </c:pt>
                <c:pt idx="3">
                  <c:v>7981.1425200000012</c:v>
                </c:pt>
                <c:pt idx="4">
                  <c:v>7303.278879999998</c:v>
                </c:pt>
                <c:pt idx="5">
                  <c:v>7176.1808800000035</c:v>
                </c:pt>
                <c:pt idx="6">
                  <c:v>7365.5100799999964</c:v>
                </c:pt>
                <c:pt idx="7">
                  <c:v>6858.0660799999969</c:v>
                </c:pt>
                <c:pt idx="8">
                  <c:v>6091.7220799999996</c:v>
                </c:pt>
                <c:pt idx="9">
                  <c:v>1261.7195000000065</c:v>
                </c:pt>
              </c:numCache>
            </c:numRef>
          </c:val>
          <c:smooth val="0"/>
          <c:extLst>
            <c:ext xmlns:c16="http://schemas.microsoft.com/office/drawing/2014/chart" uri="{C3380CC4-5D6E-409C-BE32-E72D297353CC}">
              <c16:uniqueId val="{00000000-D1BD-4CA3-978B-44A4FF8F3431}"/>
            </c:ext>
          </c:extLst>
        </c:ser>
        <c:ser>
          <c:idx val="1"/>
          <c:order val="1"/>
          <c:tx>
            <c:strRef>
              <c:f>Samenvatting!$A$86</c:f>
              <c:strCache>
                <c:ptCount val="1"/>
                <c:pt idx="0">
                  <c:v>BIDyn-40</c:v>
                </c:pt>
              </c:strCache>
            </c:strRef>
          </c:tx>
          <c:spPr>
            <a:ln w="28575" cap="rnd">
              <a:solidFill>
                <a:srgbClr val="FFFF00"/>
              </a:solidFill>
              <a:prstDash val="lgDash"/>
              <a:round/>
            </a:ln>
            <a:effectLst/>
          </c:spPr>
          <c:marker>
            <c:symbol val="circle"/>
            <c:size val="5"/>
            <c:spPr>
              <a:solidFill>
                <a:srgbClr val="FFFF00"/>
              </a:solidFill>
              <a:ln w="9525">
                <a:solidFill>
                  <a:srgbClr val="FFFF00">
                    <a:alpha val="91000"/>
                  </a:srgbClr>
                </a:solidFill>
              </a:ln>
              <a:effectLst/>
            </c:spPr>
          </c:marker>
          <c:val>
            <c:numRef>
              <c:f>Samenvatting!$B$86:$K$86</c:f>
              <c:numCache>
                <c:formatCode>0</c:formatCode>
                <c:ptCount val="10"/>
                <c:pt idx="0">
                  <c:v>1500</c:v>
                </c:pt>
                <c:pt idx="1">
                  <c:v>7479.9766666666692</c:v>
                </c:pt>
                <c:pt idx="2">
                  <c:v>7518.7105199999987</c:v>
                </c:pt>
                <c:pt idx="3">
                  <c:v>6375.1111866666652</c:v>
                </c:pt>
                <c:pt idx="4">
                  <c:v>5504.7548799999968</c:v>
                </c:pt>
                <c:pt idx="5">
                  <c:v>5295.408879999999</c:v>
                </c:pt>
                <c:pt idx="6">
                  <c:v>4724.8100799999993</c:v>
                </c:pt>
                <c:pt idx="7">
                  <c:v>4269.6327466666698</c:v>
                </c:pt>
                <c:pt idx="8">
                  <c:v>3005.2220799999996</c:v>
                </c:pt>
                <c:pt idx="9">
                  <c:v>-1830.7338333333319</c:v>
                </c:pt>
              </c:numCache>
            </c:numRef>
          </c:val>
          <c:smooth val="0"/>
          <c:extLst>
            <c:ext xmlns:c16="http://schemas.microsoft.com/office/drawing/2014/chart" uri="{C3380CC4-5D6E-409C-BE32-E72D297353CC}">
              <c16:uniqueId val="{00000001-D1BD-4CA3-978B-44A4FF8F3431}"/>
            </c:ext>
          </c:extLst>
        </c:ser>
        <c:ser>
          <c:idx val="2"/>
          <c:order val="2"/>
          <c:tx>
            <c:strRef>
              <c:f>Samenvatting!$A$87</c:f>
              <c:strCache>
                <c:ptCount val="1"/>
                <c:pt idx="0">
                  <c:v>BIDyn-20</c:v>
                </c:pt>
              </c:strCache>
            </c:strRef>
          </c:tx>
          <c:spPr>
            <a:ln w="28575" cap="rnd">
              <a:solidFill>
                <a:schemeClr val="accent3"/>
              </a:solidFill>
              <a:prstDash val="sysDot"/>
              <a:round/>
            </a:ln>
            <a:effectLst/>
          </c:spPr>
          <c:marker>
            <c:symbol val="circle"/>
            <c:size val="5"/>
            <c:spPr>
              <a:solidFill>
                <a:schemeClr val="accent3"/>
              </a:solidFill>
              <a:ln w="9525">
                <a:solidFill>
                  <a:schemeClr val="accent3"/>
                </a:solidFill>
              </a:ln>
              <a:effectLst/>
            </c:spPr>
          </c:marker>
          <c:val>
            <c:numRef>
              <c:f>Samenvatting!$B$87:$K$87</c:f>
              <c:numCache>
                <c:formatCode>0</c:formatCode>
                <c:ptCount val="10"/>
                <c:pt idx="0">
                  <c:v>1500</c:v>
                </c:pt>
                <c:pt idx="1">
                  <c:v>6097.256666666668</c:v>
                </c:pt>
                <c:pt idx="2">
                  <c:v>5747.0305199999984</c:v>
                </c:pt>
                <c:pt idx="3">
                  <c:v>4572.4711866666657</c:v>
                </c:pt>
                <c:pt idx="4">
                  <c:v>3867.748213333336</c:v>
                </c:pt>
                <c:pt idx="5">
                  <c:v>3597.2222133333344</c:v>
                </c:pt>
                <c:pt idx="6">
                  <c:v>3036.5300800000005</c:v>
                </c:pt>
                <c:pt idx="7">
                  <c:v>2478.1260800000018</c:v>
                </c:pt>
                <c:pt idx="8">
                  <c:v>1200.3220799999981</c:v>
                </c:pt>
                <c:pt idx="9">
                  <c:v>-4237.0938333333324</c:v>
                </c:pt>
              </c:numCache>
            </c:numRef>
          </c:val>
          <c:smooth val="0"/>
          <c:extLst>
            <c:ext xmlns:c16="http://schemas.microsoft.com/office/drawing/2014/chart" uri="{C3380CC4-5D6E-409C-BE32-E72D297353CC}">
              <c16:uniqueId val="{00000002-D1BD-4CA3-978B-44A4FF8F3431}"/>
            </c:ext>
          </c:extLst>
        </c:ser>
        <c:ser>
          <c:idx val="3"/>
          <c:order val="3"/>
          <c:tx>
            <c:strRef>
              <c:f>Samenvatting!$A$88</c:f>
              <c:strCache>
                <c:ptCount val="1"/>
                <c:pt idx="0">
                  <c:v>BIDyn-0 (BIDyn-light)</c:v>
                </c:pt>
              </c:strCache>
            </c:strRef>
          </c:tx>
          <c:spPr>
            <a:ln w="28575" cap="rnd">
              <a:solidFill>
                <a:srgbClr val="FF0000"/>
              </a:solidFill>
              <a:prstDash val="sysDash"/>
              <a:round/>
            </a:ln>
            <a:effectLst/>
          </c:spPr>
          <c:marker>
            <c:symbol val="circle"/>
            <c:size val="5"/>
            <c:spPr>
              <a:solidFill>
                <a:srgbClr val="FF0000"/>
              </a:solidFill>
              <a:ln w="9525">
                <a:solidFill>
                  <a:srgbClr val="FF0000"/>
                </a:solidFill>
              </a:ln>
              <a:effectLst/>
            </c:spPr>
          </c:marker>
          <c:val>
            <c:numRef>
              <c:f>Samenvatting!$B$88:$K$88</c:f>
              <c:numCache>
                <c:formatCode>0</c:formatCode>
                <c:ptCount val="10"/>
                <c:pt idx="0">
                  <c:v>1500</c:v>
                </c:pt>
                <c:pt idx="1">
                  <c:v>5043.2940000000017</c:v>
                </c:pt>
                <c:pt idx="2">
                  <c:v>4268.4065199999986</c:v>
                </c:pt>
                <c:pt idx="3">
                  <c:v>2966.4525199999989</c:v>
                </c:pt>
                <c:pt idx="4">
                  <c:v>2055.4748799999979</c:v>
                </c:pt>
                <c:pt idx="5">
                  <c:v>1967.5688799999989</c:v>
                </c:pt>
                <c:pt idx="6">
                  <c:v>1466.01008</c:v>
                </c:pt>
                <c:pt idx="7">
                  <c:v>1154.5660799999969</c:v>
                </c:pt>
                <c:pt idx="8">
                  <c:v>31.822079999998095</c:v>
                </c:pt>
                <c:pt idx="9">
                  <c:v>-8938.7604999999967</c:v>
                </c:pt>
              </c:numCache>
            </c:numRef>
          </c:val>
          <c:smooth val="0"/>
          <c:extLst>
            <c:ext xmlns:c16="http://schemas.microsoft.com/office/drawing/2014/chart" uri="{C3380CC4-5D6E-409C-BE32-E72D297353CC}">
              <c16:uniqueId val="{00000003-D1BD-4CA3-978B-44A4FF8F3431}"/>
            </c:ext>
          </c:extLst>
        </c:ser>
        <c:dLbls>
          <c:showLegendKey val="0"/>
          <c:showVal val="0"/>
          <c:showCatName val="0"/>
          <c:showSerName val="0"/>
          <c:showPercent val="0"/>
          <c:showBubbleSize val="0"/>
        </c:dLbls>
        <c:marker val="1"/>
        <c:smooth val="0"/>
        <c:axId val="668740168"/>
        <c:axId val="668738856"/>
      </c:lineChart>
      <c:catAx>
        <c:axId val="668740168"/>
        <c:scaling>
          <c:orientation val="minMax"/>
        </c:scaling>
        <c:delete val="0"/>
        <c:axPos val="t"/>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66315262429663557"/>
              <c:y val="0.8644776673377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738856"/>
        <c:crosses val="max"/>
        <c:auto val="1"/>
        <c:lblAlgn val="ctr"/>
        <c:lblOffset val="100"/>
        <c:noMultiLvlLbl val="0"/>
      </c:catAx>
      <c:valAx>
        <c:axId val="668738856"/>
        <c:scaling>
          <c:orientation val="minMax"/>
          <c:max val="10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6111111111111108E-2"/>
              <c:y val="9.759640699924013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740168"/>
        <c:crosses val="autoZero"/>
        <c:crossBetween val="between"/>
        <c:majorUnit val="5000"/>
      </c:valAx>
      <c:spPr>
        <a:solidFill>
          <a:schemeClr val="bg1"/>
        </a:solidFill>
        <a:ln>
          <a:noFill/>
        </a:ln>
        <a:effectLst/>
      </c:spPr>
    </c:plotArea>
    <c:legend>
      <c:legendPos val="r"/>
      <c:layout>
        <c:manualLayout>
          <c:xMode val="edge"/>
          <c:yMode val="edge"/>
          <c:x val="0.20087357830271219"/>
          <c:y val="0.46564361356695627"/>
          <c:w val="0.29634864391951005"/>
          <c:h val="0.253166216744203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 van de BIDyn-bundel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46981627296588"/>
          <c:y val="0.19385012103209387"/>
          <c:w val="0.85297462817147851"/>
          <c:h val="0.60603703639687334"/>
        </c:manualLayout>
      </c:layout>
      <c:lineChart>
        <c:grouping val="standard"/>
        <c:varyColors val="0"/>
        <c:ser>
          <c:idx val="0"/>
          <c:order val="0"/>
          <c:tx>
            <c:strRef>
              <c:f>'Marginale lasten'!$B$151</c:f>
              <c:strCache>
                <c:ptCount val="1"/>
                <c:pt idx="0">
                  <c:v>BIDyn</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0-965D-4DC4-BC30-7DE3BD4FCB1C}"/>
            </c:ext>
          </c:extLst>
        </c:ser>
        <c:ser>
          <c:idx val="1"/>
          <c:order val="1"/>
          <c:tx>
            <c:strRef>
              <c:f>'Marginale lasten'!$B$152</c:f>
              <c:strCache>
                <c:ptCount val="1"/>
                <c:pt idx="0">
                  <c:v>BIDyn-40</c:v>
                </c:pt>
              </c:strCache>
            </c:strRef>
          </c:tx>
          <c:spPr>
            <a:ln w="28575" cap="rnd">
              <a:solidFill>
                <a:schemeClr val="accent4">
                  <a:lumMod val="60000"/>
                  <a:lumOff val="40000"/>
                  <a:alpha val="96000"/>
                </a:schemeClr>
              </a:solidFill>
              <a:prstDash val="dash"/>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val>
            <c:numRef>
              <c:f>'Marginale lasten'!$C$152:$L$152</c:f>
              <c:numCache>
                <c:formatCode>0</c:formatCode>
                <c:ptCount val="10"/>
                <c:pt idx="0">
                  <c:v>7.333333333333333</c:v>
                </c:pt>
                <c:pt idx="1">
                  <c:v>37.333333333333336</c:v>
                </c:pt>
                <c:pt idx="2">
                  <c:v>37.333333333333336</c:v>
                </c:pt>
                <c:pt idx="3">
                  <c:v>37.333333333333336</c:v>
                </c:pt>
                <c:pt idx="4">
                  <c:v>47.333333333333336</c:v>
                </c:pt>
                <c:pt idx="5">
                  <c:v>47.333333333333336</c:v>
                </c:pt>
                <c:pt idx="6">
                  <c:v>57.333333333333336</c:v>
                </c:pt>
                <c:pt idx="7">
                  <c:v>57.333333333333336</c:v>
                </c:pt>
                <c:pt idx="8">
                  <c:v>67.333333333333329</c:v>
                </c:pt>
                <c:pt idx="9">
                  <c:v>67.333333333333329</c:v>
                </c:pt>
              </c:numCache>
            </c:numRef>
          </c:val>
          <c:smooth val="0"/>
          <c:extLst>
            <c:ext xmlns:c16="http://schemas.microsoft.com/office/drawing/2014/chart" uri="{C3380CC4-5D6E-409C-BE32-E72D297353CC}">
              <c16:uniqueId val="{00000001-965D-4DC4-BC30-7DE3BD4FCB1C}"/>
            </c:ext>
          </c:extLst>
        </c:ser>
        <c:ser>
          <c:idx val="2"/>
          <c:order val="2"/>
          <c:tx>
            <c:strRef>
              <c:f>'Marginale lasten'!$B$153</c:f>
              <c:strCache>
                <c:ptCount val="1"/>
                <c:pt idx="0">
                  <c:v>BIDyn-20</c:v>
                </c:pt>
              </c:strCache>
            </c:strRef>
          </c:tx>
          <c:spPr>
            <a:ln w="28575" cap="rnd">
              <a:solidFill>
                <a:schemeClr val="accent3">
                  <a:lumMod val="75000"/>
                </a:schemeClr>
              </a:solidFill>
              <a:prstDash val="sysDot"/>
              <a:round/>
            </a:ln>
            <a:effectLst/>
          </c:spPr>
          <c:marker>
            <c:symbol val="circle"/>
            <c:size val="5"/>
            <c:spPr>
              <a:solidFill>
                <a:schemeClr val="accent3">
                  <a:lumMod val="75000"/>
                </a:schemeClr>
              </a:solidFill>
              <a:ln w="9525">
                <a:solidFill>
                  <a:schemeClr val="accent3">
                    <a:lumMod val="75000"/>
                  </a:schemeClr>
                </a:solidFill>
              </a:ln>
              <a:effectLst/>
            </c:spPr>
          </c:marker>
          <c:val>
            <c:numRef>
              <c:f>'Marginale lasten'!$C$153:$L$153</c:f>
              <c:numCache>
                <c:formatCode>0</c:formatCode>
                <c:ptCount val="10"/>
                <c:pt idx="0">
                  <c:v>5.6666666666666661</c:v>
                </c:pt>
                <c:pt idx="1">
                  <c:v>37.666666666666664</c:v>
                </c:pt>
                <c:pt idx="2">
                  <c:v>37.666666666666664</c:v>
                </c:pt>
                <c:pt idx="3">
                  <c:v>37.666666666666664</c:v>
                </c:pt>
                <c:pt idx="4">
                  <c:v>47.666666666666664</c:v>
                </c:pt>
                <c:pt idx="5">
                  <c:v>47.666666666666664</c:v>
                </c:pt>
                <c:pt idx="6">
                  <c:v>57.666666666666664</c:v>
                </c:pt>
                <c:pt idx="7">
                  <c:v>57.666666666666664</c:v>
                </c:pt>
                <c:pt idx="8">
                  <c:v>67.666666666666671</c:v>
                </c:pt>
                <c:pt idx="9">
                  <c:v>67.666666666666671</c:v>
                </c:pt>
              </c:numCache>
            </c:numRef>
          </c:val>
          <c:smooth val="0"/>
          <c:extLst>
            <c:ext xmlns:c16="http://schemas.microsoft.com/office/drawing/2014/chart" uri="{C3380CC4-5D6E-409C-BE32-E72D297353CC}">
              <c16:uniqueId val="{00000002-965D-4DC4-BC30-7DE3BD4FCB1C}"/>
            </c:ext>
          </c:extLst>
        </c:ser>
        <c:ser>
          <c:idx val="3"/>
          <c:order val="3"/>
          <c:tx>
            <c:strRef>
              <c:f>'Marginale lasten'!$B$154</c:f>
              <c:strCache>
                <c:ptCount val="1"/>
                <c:pt idx="0">
                  <c:v>BIDyn-0 (light)</c:v>
                </c:pt>
              </c:strCache>
            </c:strRef>
          </c:tx>
          <c:spPr>
            <a:ln w="28575" cap="rnd">
              <a:solidFill>
                <a:srgbClr val="FF0000"/>
              </a:solidFill>
              <a:prstDash val="sysDash"/>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3-965D-4DC4-BC30-7DE3BD4FCB1C}"/>
            </c:ext>
          </c:extLst>
        </c:ser>
        <c:dLbls>
          <c:showLegendKey val="0"/>
          <c:showVal val="0"/>
          <c:showCatName val="0"/>
          <c:showSerName val="0"/>
          <c:showPercent val="0"/>
          <c:showBubbleSize val="0"/>
        </c:dLbls>
        <c:marker val="1"/>
        <c:smooth val="0"/>
        <c:axId val="687038720"/>
        <c:axId val="687040032"/>
      </c:lineChart>
      <c:catAx>
        <c:axId val="687038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Inkomensdecielen</a:t>
                </a:r>
              </a:p>
            </c:rich>
          </c:tx>
          <c:layout>
            <c:manualLayout>
              <c:xMode val="edge"/>
              <c:yMode val="edge"/>
              <c:x val="0.63915857392825892"/>
              <c:y val="0.868266380897588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40032"/>
        <c:crosses val="autoZero"/>
        <c:auto val="1"/>
        <c:lblAlgn val="ctr"/>
        <c:lblOffset val="100"/>
        <c:noMultiLvlLbl val="0"/>
      </c:catAx>
      <c:valAx>
        <c:axId val="687040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6.3888888888888884E-2"/>
              <c:y val="2.9203262310828194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038720"/>
        <c:crosses val="autoZero"/>
        <c:crossBetween val="between"/>
      </c:valAx>
      <c:spPr>
        <a:noFill/>
        <a:ln>
          <a:noFill/>
        </a:ln>
        <a:effectLst/>
      </c:spPr>
    </c:plotArea>
    <c:legend>
      <c:legendPos val="r"/>
      <c:layout>
        <c:manualLayout>
          <c:xMode val="edge"/>
          <c:yMode val="edge"/>
          <c:x val="0.68152690288713913"/>
          <c:y val="0.42584744492132759"/>
          <c:w val="0.28451487314085738"/>
          <c:h val="0.34908513730436846"/>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r>
              <a:rPr lang="nl-NL"/>
              <a:t>Persoonlijk Nettoinkomen Werkenden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mn-lt"/>
              <a:ea typeface="+mn-ea"/>
              <a:cs typeface="+mn-cs"/>
            </a:defRPr>
          </a:pPr>
          <a:endParaRPr lang="en-US"/>
        </a:p>
      </c:txPr>
    </c:title>
    <c:autoTitleDeleted val="0"/>
    <c:plotArea>
      <c:layout>
        <c:manualLayout>
          <c:layoutTarget val="inner"/>
          <c:xMode val="edge"/>
          <c:yMode val="edge"/>
          <c:x val="0.16348385531870657"/>
          <c:y val="0.14088825751836337"/>
          <c:w val="0.76082108486439193"/>
          <c:h val="0.71133662492210437"/>
        </c:manualLayout>
      </c:layout>
      <c:lineChart>
        <c:grouping val="standard"/>
        <c:varyColors val="0"/>
        <c:ser>
          <c:idx val="1"/>
          <c:order val="0"/>
          <c:tx>
            <c:v>Nu, dus zónder basisinkomen</c:v>
          </c:tx>
          <c:spPr>
            <a:ln w="28575" cap="rnd">
              <a:solidFill>
                <a:schemeClr val="accent6">
                  <a:lumMod val="75000"/>
                </a:schemeClr>
              </a:solidFill>
              <a:prstDash val="dash"/>
              <a:round/>
            </a:ln>
            <a:effectLst/>
          </c:spPr>
          <c:marker>
            <c:symbol val="circle"/>
            <c:size val="5"/>
            <c:spPr>
              <a:solidFill>
                <a:schemeClr val="accent6">
                  <a:lumMod val="75000"/>
                </a:schemeClr>
              </a:solidFill>
              <a:ln w="9525">
                <a:solidFill>
                  <a:schemeClr val="accent6">
                    <a:lumMod val="75000"/>
                  </a:schemeClr>
                </a:solidFill>
              </a:ln>
              <a:effectLst/>
            </c:spPr>
          </c:marker>
          <c:val>
            <c:numRef>
              <c:f>AONI!$B$41:$K$41</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0-F8A9-4E03-9814-38EBA2EFA93B}"/>
            </c:ext>
          </c:extLst>
        </c:ser>
        <c:ser>
          <c:idx val="2"/>
          <c:order val="1"/>
          <c:tx>
            <c:v>Ná invoering AONI</c:v>
          </c:tx>
          <c:spPr>
            <a:ln w="28575" cap="rnd">
              <a:solidFill>
                <a:schemeClr val="accent2">
                  <a:lumMod val="75000"/>
                </a:schemeClr>
              </a:solidFill>
              <a:prstDash val="lgDashDotDot"/>
              <a:round/>
            </a:ln>
            <a:effectLst/>
          </c:spPr>
          <c:marker>
            <c:symbol val="circle"/>
            <c:size val="5"/>
            <c:spPr>
              <a:solidFill>
                <a:schemeClr val="accent2">
                  <a:lumMod val="75000"/>
                </a:schemeClr>
              </a:solidFill>
              <a:ln w="9525">
                <a:solidFill>
                  <a:schemeClr val="accent2">
                    <a:lumMod val="75000"/>
                  </a:schemeClr>
                </a:solidFill>
              </a:ln>
              <a:effectLst/>
            </c:spPr>
          </c:marker>
          <c:val>
            <c:numRef>
              <c:f>AONI!$B$106:$K$106</c:f>
              <c:numCache>
                <c:formatCode>0</c:formatCode>
                <c:ptCount val="10"/>
                <c:pt idx="0">
                  <c:v>3900</c:v>
                </c:pt>
                <c:pt idx="1">
                  <c:v>18714</c:v>
                </c:pt>
                <c:pt idx="2">
                  <c:v>21066</c:v>
                </c:pt>
                <c:pt idx="3">
                  <c:v>23130</c:v>
                </c:pt>
                <c:pt idx="4">
                  <c:v>25776</c:v>
                </c:pt>
                <c:pt idx="5">
                  <c:v>27846</c:v>
                </c:pt>
                <c:pt idx="6">
                  <c:v>30336</c:v>
                </c:pt>
                <c:pt idx="7">
                  <c:v>33276</c:v>
                </c:pt>
                <c:pt idx="8">
                  <c:v>35901</c:v>
                </c:pt>
                <c:pt idx="9">
                  <c:v>43296</c:v>
                </c:pt>
              </c:numCache>
            </c:numRef>
          </c:val>
          <c:smooth val="0"/>
          <c:extLst>
            <c:ext xmlns:c16="http://schemas.microsoft.com/office/drawing/2014/chart" uri="{C3380CC4-5D6E-409C-BE32-E72D297353CC}">
              <c16:uniqueId val="{00000003-F8A9-4E03-9814-38EBA2EFA93B}"/>
            </c:ext>
          </c:extLst>
        </c:ser>
        <c:dLbls>
          <c:showLegendKey val="0"/>
          <c:showVal val="0"/>
          <c:showCatName val="0"/>
          <c:showSerName val="0"/>
          <c:showPercent val="0"/>
          <c:showBubbleSize val="0"/>
        </c:dLbls>
        <c:marker val="1"/>
        <c:smooth val="0"/>
        <c:axId val="573332200"/>
        <c:axId val="573330232"/>
      </c:lineChart>
      <c:catAx>
        <c:axId val="5733322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r>
                  <a:rPr lang="nl-NL" sz="1100"/>
                  <a:t>Deciel (verdeling in 10 groepen met gelijk aantal personen)</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573330232"/>
        <c:crosses val="autoZero"/>
        <c:auto val="1"/>
        <c:lblAlgn val="ctr"/>
        <c:lblOffset val="100"/>
        <c:noMultiLvlLbl val="0"/>
      </c:catAx>
      <c:valAx>
        <c:axId val="573330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800" b="0" i="0" u="none" strike="noStrike" kern="1200" baseline="0">
                    <a:solidFill>
                      <a:schemeClr val="tx1">
                        <a:lumMod val="95000"/>
                        <a:lumOff val="5000"/>
                      </a:schemeClr>
                    </a:solidFill>
                    <a:latin typeface="+mn-lt"/>
                    <a:ea typeface="+mn-ea"/>
                    <a:cs typeface="+mn-cs"/>
                  </a:defRPr>
                </a:pPr>
                <a:r>
                  <a:rPr lang="en-US" sz="1800"/>
                  <a:t> €</a:t>
                </a:r>
              </a:p>
            </c:rich>
          </c:tx>
          <c:layout>
            <c:manualLayout>
              <c:xMode val="edge"/>
              <c:yMode val="edge"/>
              <c:x val="6.8279069767441858E-2"/>
              <c:y val="1.0414735383619809E-2"/>
            </c:manualLayout>
          </c:layout>
          <c:overlay val="0"/>
          <c:spPr>
            <a:noFill/>
            <a:ln>
              <a:noFill/>
            </a:ln>
            <a:effectLst/>
          </c:spPr>
          <c:txPr>
            <a:bodyPr rot="0" spcFirstLastPara="1" vertOverflow="ellipsis" wrap="square" anchor="ctr" anchorCtr="1"/>
            <a:lstStyle/>
            <a:p>
              <a:pPr>
                <a:defRPr sz="1800" b="0" i="0" u="none" strike="noStrike" kern="1200" baseline="0">
                  <a:solidFill>
                    <a:schemeClr val="tx1">
                      <a:lumMod val="95000"/>
                      <a:lumOff val="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crossAx val="573332200"/>
        <c:crosses val="autoZero"/>
        <c:crossBetween val="between"/>
      </c:valAx>
      <c:spPr>
        <a:noFill/>
        <a:ln>
          <a:noFill/>
        </a:ln>
        <a:effectLst/>
      </c:spPr>
    </c:plotArea>
    <c:legend>
      <c:legendPos val="r"/>
      <c:legendEntry>
        <c:idx val="0"/>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100" b="0" i="0" u="none" strike="noStrike" kern="1200" baseline="0">
                <a:solidFill>
                  <a:schemeClr val="tx1">
                    <a:lumMod val="95000"/>
                    <a:lumOff val="5000"/>
                  </a:schemeClr>
                </a:solidFill>
                <a:latin typeface="+mn-lt"/>
                <a:ea typeface="+mn-ea"/>
                <a:cs typeface="+mn-cs"/>
              </a:defRPr>
            </a:pPr>
            <a:endParaRPr lang="en-US"/>
          </a:p>
        </c:txPr>
      </c:legendEntry>
      <c:layout>
        <c:manualLayout>
          <c:xMode val="edge"/>
          <c:yMode val="edge"/>
          <c:x val="0.21463256972400008"/>
          <c:y val="0.19237623742722329"/>
          <c:w val="0.34216061861044339"/>
          <c:h val="0.25598336612158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Toename besteedbaar netto-inkomen t.g.v.</a:t>
            </a:r>
            <a:r>
              <a:rPr lang="en-US" baseline="0"/>
              <a:t> BIDyn</a:t>
            </a:r>
            <a:endParaRPr lang="en-US"/>
          </a:p>
        </c:rich>
      </c:tx>
      <c:layout>
        <c:manualLayout>
          <c:xMode val="edge"/>
          <c:yMode val="edge"/>
          <c:x val="0.15229155730533683"/>
          <c:y val="2.54776984878216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34958442694663"/>
          <c:y val="0.16830126275096954"/>
          <c:w val="0.78594860017497825"/>
          <c:h val="0.64245627749426504"/>
        </c:manualLayout>
      </c:layout>
      <c:lineChart>
        <c:grouping val="standard"/>
        <c:varyColors val="0"/>
        <c:ser>
          <c:idx val="0"/>
          <c:order val="0"/>
          <c:tx>
            <c:strRef>
              <c:f>Samenvatting!$A$75</c:f>
              <c:strCache>
                <c:ptCount val="1"/>
                <c:pt idx="0">
                  <c:v>BIDyn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Samenvatting!$B$75:$K$75</c:f>
              <c:numCache>
                <c:formatCode>0</c:formatCode>
                <c:ptCount val="10"/>
                <c:pt idx="0">
                  <c:v>1500</c:v>
                </c:pt>
                <c:pt idx="1">
                  <c:v>9121.11</c:v>
                </c:pt>
                <c:pt idx="2">
                  <c:v>9196.2365200000004</c:v>
                </c:pt>
                <c:pt idx="3">
                  <c:v>7981.1425200000012</c:v>
                </c:pt>
                <c:pt idx="4">
                  <c:v>7303.278879999998</c:v>
                </c:pt>
                <c:pt idx="5">
                  <c:v>7176.1808800000035</c:v>
                </c:pt>
                <c:pt idx="6">
                  <c:v>7365.5100799999964</c:v>
                </c:pt>
                <c:pt idx="7">
                  <c:v>6858.0660799999969</c:v>
                </c:pt>
                <c:pt idx="8">
                  <c:v>6091.7220799999996</c:v>
                </c:pt>
                <c:pt idx="9">
                  <c:v>1261.7195000000065</c:v>
                </c:pt>
              </c:numCache>
            </c:numRef>
          </c:val>
          <c:smooth val="0"/>
          <c:extLst>
            <c:ext xmlns:c16="http://schemas.microsoft.com/office/drawing/2014/chart" uri="{C3380CC4-5D6E-409C-BE32-E72D297353CC}">
              <c16:uniqueId val="{00000000-0568-4B5A-9D01-6A04D9B6F531}"/>
            </c:ext>
          </c:extLst>
        </c:ser>
        <c:dLbls>
          <c:showLegendKey val="0"/>
          <c:showVal val="0"/>
          <c:showCatName val="0"/>
          <c:showSerName val="0"/>
          <c:showPercent val="0"/>
          <c:showBubbleSize val="0"/>
        </c:dLbls>
        <c:marker val="1"/>
        <c:smooth val="0"/>
        <c:axId val="696625112"/>
        <c:axId val="696620848"/>
      </c:lineChart>
      <c:catAx>
        <c:axId val="6966251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Inkomensdecielen</a:t>
                </a:r>
              </a:p>
            </c:rich>
          </c:tx>
          <c:layout>
            <c:manualLayout>
              <c:xMode val="edge"/>
              <c:yMode val="edge"/>
              <c:x val="0.64994925634295708"/>
              <c:y val="0.895047931174103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96620848"/>
        <c:crosses val="autoZero"/>
        <c:auto val="1"/>
        <c:lblAlgn val="ctr"/>
        <c:lblOffset val="100"/>
        <c:noMultiLvlLbl val="0"/>
      </c:catAx>
      <c:valAx>
        <c:axId val="696620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7.7777777777777779E-2"/>
              <c:y val="4.077938174394867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696625112"/>
        <c:crosses val="autoZero"/>
        <c:crossBetween val="between"/>
        <c:majorUnit val="2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Netto-inkomens effecten van BIDyn-light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445406824146981"/>
          <c:y val="0.17784740449110528"/>
          <c:w val="0.79499037620297475"/>
          <c:h val="0.67821741032370952"/>
        </c:manualLayout>
      </c:layout>
      <c:lineChart>
        <c:grouping val="standard"/>
        <c:varyColors val="0"/>
        <c:ser>
          <c:idx val="0"/>
          <c:order val="0"/>
          <c:tx>
            <c:strRef>
              <c:f>Samenvatting!$A$76</c:f>
              <c:strCache>
                <c:ptCount val="1"/>
                <c:pt idx="0">
                  <c:v>BIDyn-light</c:v>
                </c:pt>
              </c:strCache>
            </c:strRef>
          </c:tx>
          <c:spPr>
            <a:ln w="28575" cap="rnd">
              <a:solidFill>
                <a:srgbClr val="FF0000"/>
              </a:solidFill>
              <a:prstDash val="sysDash"/>
              <a:round/>
            </a:ln>
            <a:effectLst/>
          </c:spPr>
          <c:marker>
            <c:symbol val="circle"/>
            <c:size val="5"/>
            <c:spPr>
              <a:solidFill>
                <a:srgbClr val="FF0000"/>
              </a:solidFill>
              <a:ln w="9525">
                <a:solidFill>
                  <a:srgbClr val="FF0000"/>
                </a:solidFill>
              </a:ln>
              <a:effectLst/>
            </c:spPr>
          </c:marker>
          <c:val>
            <c:numRef>
              <c:f>Samenvatting!$B$76:$K$76</c:f>
              <c:numCache>
                <c:formatCode>0</c:formatCode>
                <c:ptCount val="10"/>
                <c:pt idx="0">
                  <c:v>1500</c:v>
                </c:pt>
                <c:pt idx="1">
                  <c:v>5043.2940000000017</c:v>
                </c:pt>
                <c:pt idx="2">
                  <c:v>4268.4065199999986</c:v>
                </c:pt>
                <c:pt idx="3">
                  <c:v>2966.4525199999989</c:v>
                </c:pt>
                <c:pt idx="4">
                  <c:v>2055.4748799999979</c:v>
                </c:pt>
                <c:pt idx="5">
                  <c:v>1967.5688799999989</c:v>
                </c:pt>
                <c:pt idx="6">
                  <c:v>1466.01008</c:v>
                </c:pt>
                <c:pt idx="7">
                  <c:v>1154.5660799999969</c:v>
                </c:pt>
                <c:pt idx="8">
                  <c:v>31.822079999998095</c:v>
                </c:pt>
                <c:pt idx="9">
                  <c:v>-8938.7604999999967</c:v>
                </c:pt>
              </c:numCache>
            </c:numRef>
          </c:val>
          <c:smooth val="0"/>
          <c:extLst>
            <c:ext xmlns:c16="http://schemas.microsoft.com/office/drawing/2014/chart" uri="{C3380CC4-5D6E-409C-BE32-E72D297353CC}">
              <c16:uniqueId val="{00000000-00CE-4BFB-BE27-6B3247D18131}"/>
            </c:ext>
          </c:extLst>
        </c:ser>
        <c:dLbls>
          <c:showLegendKey val="0"/>
          <c:showVal val="0"/>
          <c:showCatName val="0"/>
          <c:showSerName val="0"/>
          <c:showPercent val="0"/>
          <c:showBubbleSize val="0"/>
        </c:dLbls>
        <c:marker val="1"/>
        <c:smooth val="0"/>
        <c:axId val="702095704"/>
        <c:axId val="702096688"/>
      </c:lineChart>
      <c:catAx>
        <c:axId val="7020957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Inkomensdecielen</a:t>
                </a:r>
              </a:p>
            </c:rich>
          </c:tx>
          <c:layout>
            <c:manualLayout>
              <c:xMode val="edge"/>
              <c:yMode val="edge"/>
              <c:x val="0.64265048118985135"/>
              <c:y val="0.894281558754200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02096688"/>
        <c:crosses val="autoZero"/>
        <c:auto val="1"/>
        <c:lblAlgn val="ctr"/>
        <c:lblOffset val="100"/>
        <c:noMultiLvlLbl val="0"/>
      </c:catAx>
      <c:valAx>
        <c:axId val="70209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6.9444444444444448E-2"/>
              <c:y val="4.586796442111403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02095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'Toeslagen lineair'!$A$13</c:f>
              <c:strCache>
                <c:ptCount val="1"/>
                <c:pt idx="0">
                  <c:v>Huurtoeslag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3.5619860017497812E-2"/>
                  <c:y val="-0.4435958005249343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'Toeslagen lineair'!$C$14:$C$15</c:f>
              <c:numCache>
                <c:formatCode>General</c:formatCode>
                <c:ptCount val="2"/>
                <c:pt idx="0">
                  <c:v>12600</c:v>
                </c:pt>
                <c:pt idx="1">
                  <c:v>23225</c:v>
                </c:pt>
              </c:numCache>
            </c:numRef>
          </c:xVal>
          <c:yVal>
            <c:numRef>
              <c:f>'Toeslagen lineair'!$B$14:$B$15</c:f>
              <c:numCache>
                <c:formatCode>General</c:formatCode>
                <c:ptCount val="2"/>
                <c:pt idx="0">
                  <c:v>4464</c:v>
                </c:pt>
                <c:pt idx="1">
                  <c:v>24</c:v>
                </c:pt>
              </c:numCache>
            </c:numRef>
          </c:yVal>
          <c:smooth val="0"/>
          <c:extLst>
            <c:ext xmlns:c16="http://schemas.microsoft.com/office/drawing/2014/chart" uri="{C3380CC4-5D6E-409C-BE32-E72D297353CC}">
              <c16:uniqueId val="{00000000-6EA1-4A6E-95E4-2F81D1061020}"/>
            </c:ext>
          </c:extLst>
        </c:ser>
        <c:dLbls>
          <c:showLegendKey val="0"/>
          <c:showVal val="0"/>
          <c:showCatName val="0"/>
          <c:showSerName val="0"/>
          <c:showPercent val="0"/>
          <c:showBubbleSize val="0"/>
        </c:dLbls>
        <c:axId val="535442568"/>
        <c:axId val="535438632"/>
      </c:scatterChart>
      <c:valAx>
        <c:axId val="535442568"/>
        <c:scaling>
          <c:orientation val="minMax"/>
          <c:min val="1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5438632"/>
        <c:crosses val="autoZero"/>
        <c:crossBetween val="midCat"/>
      </c:valAx>
      <c:valAx>
        <c:axId val="535438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54425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692038495188105E-2"/>
          <c:y val="0.15782407407407409"/>
          <c:w val="0.84586351706036744"/>
          <c:h val="0.72088764946048411"/>
        </c:manualLayout>
      </c:layout>
      <c:scatterChart>
        <c:scatterStyle val="lineMarker"/>
        <c:varyColors val="0"/>
        <c:ser>
          <c:idx val="0"/>
          <c:order val="0"/>
          <c:tx>
            <c:strRef>
              <c:f>'Toeslagen lineair'!$A$30</c:f>
              <c:strCache>
                <c:ptCount val="1"/>
                <c:pt idx="0">
                  <c:v>Zorgtoeslag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5.1009405074365702E-2"/>
                  <c:y val="-0.4250772820064158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'Toeslagen lineair'!$C$31:$C$32</c:f>
              <c:numCache>
                <c:formatCode>General</c:formatCode>
                <c:ptCount val="2"/>
                <c:pt idx="0">
                  <c:v>12600</c:v>
                </c:pt>
                <c:pt idx="1">
                  <c:v>30481</c:v>
                </c:pt>
              </c:numCache>
            </c:numRef>
          </c:xVal>
          <c:yVal>
            <c:numRef>
              <c:f>'Toeslagen lineair'!$B$31:$B$32</c:f>
              <c:numCache>
                <c:formatCode>General</c:formatCode>
                <c:ptCount val="2"/>
                <c:pt idx="0">
                  <c:v>1200</c:v>
                </c:pt>
                <c:pt idx="1">
                  <c:v>24</c:v>
                </c:pt>
              </c:numCache>
            </c:numRef>
          </c:yVal>
          <c:smooth val="0"/>
          <c:extLst>
            <c:ext xmlns:c16="http://schemas.microsoft.com/office/drawing/2014/chart" uri="{C3380CC4-5D6E-409C-BE32-E72D297353CC}">
              <c16:uniqueId val="{00000000-6FB4-4BCD-B311-DFF6629C5A7A}"/>
            </c:ext>
          </c:extLst>
        </c:ser>
        <c:dLbls>
          <c:showLegendKey val="0"/>
          <c:showVal val="0"/>
          <c:showCatName val="0"/>
          <c:showSerName val="0"/>
          <c:showPercent val="0"/>
          <c:showBubbleSize val="0"/>
        </c:dLbls>
        <c:axId val="586949368"/>
        <c:axId val="586950352"/>
      </c:scatterChart>
      <c:valAx>
        <c:axId val="586949368"/>
        <c:scaling>
          <c:orientation val="minMax"/>
          <c:max val="35000"/>
          <c:min val="1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6950352"/>
        <c:crosses val="autoZero"/>
        <c:crossBetween val="midCat"/>
        <c:majorUnit val="5000"/>
      </c:valAx>
      <c:valAx>
        <c:axId val="586950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694936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Pseudo-ArbeidsAanbod</a:t>
            </a:r>
            <a:r>
              <a:rPr lang="en-US" baseline="0"/>
              <a:t> Elasticiteit (PAAE)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PAAE!$B$24</c:f>
              <c:strCache>
                <c:ptCount val="1"/>
                <c:pt idx="0">
                  <c:v>Inkomen</c:v>
                </c:pt>
              </c:strCache>
            </c:strRef>
          </c:tx>
          <c:spPr>
            <a:noFill/>
            <a:ln w="19050">
              <a:noFill/>
            </a:ln>
            <a:effectLst/>
          </c:spPr>
          <c:invertIfNegative val="0"/>
          <c:cat>
            <c:numRef>
              <c:f>PAAE!$A$25:$A$41</c:f>
              <c:numCache>
                <c:formatCode>General</c:formatCode>
                <c:ptCount val="17"/>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numCache>
            </c:numRef>
          </c:cat>
          <c:val>
            <c:numRef>
              <c:f>PAAE!$B$25:$B$41</c:f>
              <c:numCache>
                <c:formatCode>General</c:formatCode>
                <c:ptCount val="17"/>
                <c:pt idx="2">
                  <c:v>16600</c:v>
                </c:pt>
                <c:pt idx="3">
                  <c:v>18600</c:v>
                </c:pt>
                <c:pt idx="4">
                  <c:v>20600</c:v>
                </c:pt>
                <c:pt idx="5">
                  <c:v>22600</c:v>
                </c:pt>
                <c:pt idx="6">
                  <c:v>24600</c:v>
                </c:pt>
                <c:pt idx="7">
                  <c:v>26600</c:v>
                </c:pt>
                <c:pt idx="8">
                  <c:v>28600</c:v>
                </c:pt>
                <c:pt idx="9">
                  <c:v>30600</c:v>
                </c:pt>
                <c:pt idx="10">
                  <c:v>32600</c:v>
                </c:pt>
                <c:pt idx="11">
                  <c:v>34600</c:v>
                </c:pt>
                <c:pt idx="12">
                  <c:v>36600</c:v>
                </c:pt>
                <c:pt idx="13">
                  <c:v>38600</c:v>
                </c:pt>
                <c:pt idx="14">
                  <c:v>40600</c:v>
                </c:pt>
                <c:pt idx="15">
                  <c:v>42600</c:v>
                </c:pt>
                <c:pt idx="16">
                  <c:v>44600</c:v>
                </c:pt>
              </c:numCache>
            </c:numRef>
          </c:val>
          <c:extLst>
            <c:ext xmlns:c16="http://schemas.microsoft.com/office/drawing/2014/chart" uri="{C3380CC4-5D6E-409C-BE32-E72D297353CC}">
              <c16:uniqueId val="{00000000-91D5-4028-B55A-C7BA71F6CD7C}"/>
            </c:ext>
          </c:extLst>
        </c:ser>
        <c:dLbls>
          <c:showLegendKey val="0"/>
          <c:showVal val="0"/>
          <c:showCatName val="0"/>
          <c:showSerName val="0"/>
          <c:showPercent val="0"/>
          <c:showBubbleSize val="0"/>
        </c:dLbls>
        <c:gapWidth val="150"/>
        <c:axId val="628869760"/>
        <c:axId val="628870088"/>
      </c:barChart>
      <c:lineChart>
        <c:grouping val="standard"/>
        <c:varyColors val="0"/>
        <c:ser>
          <c:idx val="1"/>
          <c:order val="1"/>
          <c:tx>
            <c:strRef>
              <c:f>PAAE!$C$24</c:f>
              <c:strCache>
                <c:ptCount val="1"/>
                <c:pt idx="0">
                  <c:v>PAAE</c:v>
                </c:pt>
              </c:strCache>
            </c:strRef>
          </c:tx>
          <c:spPr>
            <a:ln w="19050" cap="rnd">
              <a:solidFill>
                <a:schemeClr val="accent2"/>
              </a:solidFill>
              <a:round/>
            </a:ln>
            <a:effectLst/>
          </c:spPr>
          <c:marker>
            <c:symbol val="none"/>
          </c:marker>
          <c:cat>
            <c:numRef>
              <c:f>PAAE!$A$25:$A$41</c:f>
              <c:numCache>
                <c:formatCode>General</c:formatCode>
                <c:ptCount val="17"/>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numCache>
            </c:numRef>
          </c:cat>
          <c:val>
            <c:numRef>
              <c:f>PAAE!$C$25:$C$41</c:f>
              <c:numCache>
                <c:formatCode>0.0</c:formatCode>
                <c:ptCount val="17"/>
                <c:pt idx="2">
                  <c:v>7.3</c:v>
                </c:pt>
                <c:pt idx="3">
                  <c:v>4.1499999999999995</c:v>
                </c:pt>
                <c:pt idx="4">
                  <c:v>3.0999999999999996</c:v>
                </c:pt>
                <c:pt idx="5">
                  <c:v>2.5750000000000002</c:v>
                </c:pt>
                <c:pt idx="6">
                  <c:v>2.2600000000000002</c:v>
                </c:pt>
                <c:pt idx="7">
                  <c:v>2.0499999999999998</c:v>
                </c:pt>
                <c:pt idx="8">
                  <c:v>1.9</c:v>
                </c:pt>
                <c:pt idx="9">
                  <c:v>1.7874999999999999</c:v>
                </c:pt>
                <c:pt idx="10" formatCode="General">
                  <c:v>1.6999999999999997</c:v>
                </c:pt>
                <c:pt idx="11">
                  <c:v>1.63</c:v>
                </c:pt>
                <c:pt idx="12">
                  <c:v>1.5727272727272728</c:v>
                </c:pt>
                <c:pt idx="13">
                  <c:v>1.5249999999999999</c:v>
                </c:pt>
                <c:pt idx="14">
                  <c:v>1.4846153846153847</c:v>
                </c:pt>
                <c:pt idx="15">
                  <c:v>1.4499999999999997</c:v>
                </c:pt>
                <c:pt idx="16">
                  <c:v>1.4200000000000002</c:v>
                </c:pt>
              </c:numCache>
            </c:numRef>
          </c:val>
          <c:smooth val="0"/>
          <c:extLst>
            <c:ext xmlns:c16="http://schemas.microsoft.com/office/drawing/2014/chart" uri="{C3380CC4-5D6E-409C-BE32-E72D297353CC}">
              <c16:uniqueId val="{00000001-91D5-4028-B55A-C7BA71F6CD7C}"/>
            </c:ext>
          </c:extLst>
        </c:ser>
        <c:dLbls>
          <c:showLegendKey val="0"/>
          <c:showVal val="0"/>
          <c:showCatName val="0"/>
          <c:showSerName val="0"/>
          <c:showPercent val="0"/>
          <c:showBubbleSize val="0"/>
        </c:dLbls>
        <c:marker val="1"/>
        <c:smooth val="0"/>
        <c:axId val="637948096"/>
        <c:axId val="637942192"/>
      </c:lineChart>
      <c:catAx>
        <c:axId val="6288697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Aantal Uren Werk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in"/>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870088"/>
        <c:crosses val="autoZero"/>
        <c:auto val="1"/>
        <c:lblAlgn val="ctr"/>
        <c:lblOffset val="100"/>
        <c:tickLblSkip val="1"/>
        <c:tickMarkSkip val="200"/>
        <c:noMultiLvlLbl val="0"/>
      </c:catAx>
      <c:valAx>
        <c:axId val="628870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Bruto-Inkomen</a:t>
                </a:r>
              </a:p>
              <a:p>
                <a:pPr>
                  <a:defRPr/>
                </a:pPr>
                <a:endParaRPr lang="nl-NL" sz="14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8869760"/>
        <c:crossesAt val="2"/>
        <c:crossBetween val="midCat"/>
      </c:valAx>
      <c:valAx>
        <c:axId val="6379421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PAAE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948096"/>
        <c:crosses val="max"/>
        <c:crossBetween val="between"/>
      </c:valAx>
      <c:catAx>
        <c:axId val="637948096"/>
        <c:scaling>
          <c:orientation val="minMax"/>
        </c:scaling>
        <c:delete val="1"/>
        <c:axPos val="b"/>
        <c:numFmt formatCode="General" sourceLinked="1"/>
        <c:majorTickMark val="out"/>
        <c:minorTickMark val="none"/>
        <c:tickLblPos val="nextTo"/>
        <c:crossAx val="63794219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Pseudo-ArbeidsAanbod Elasticiteit (PAAE)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090524530774916"/>
          <c:y val="0.17171296296296296"/>
          <c:w val="0.65651261166545949"/>
          <c:h val="0.66533209390492853"/>
        </c:manualLayout>
      </c:layout>
      <c:scatterChart>
        <c:scatterStyle val="lineMarker"/>
        <c:varyColors val="0"/>
        <c:ser>
          <c:idx val="0"/>
          <c:order val="0"/>
          <c:tx>
            <c:strRef>
              <c:f>PAAE!$C$24</c:f>
              <c:strCache>
                <c:ptCount val="1"/>
                <c:pt idx="0">
                  <c:v>PAAE</c:v>
                </c:pt>
              </c:strCache>
            </c:strRef>
          </c:tx>
          <c:spPr>
            <a:ln w="19050" cap="rnd">
              <a:noFill/>
              <a:round/>
            </a:ln>
            <a:effectLst/>
          </c:spPr>
          <c:marker>
            <c:symbol val="circle"/>
            <c:size val="5"/>
            <c:spPr>
              <a:solidFill>
                <a:schemeClr val="accent1"/>
              </a:solidFill>
              <a:ln w="9525">
                <a:solidFill>
                  <a:schemeClr val="accent1"/>
                </a:solidFill>
              </a:ln>
              <a:effectLst/>
            </c:spPr>
          </c:marker>
          <c:xVal>
            <c:numRef>
              <c:f>PAAE!$A$25:$A$41</c:f>
              <c:numCache>
                <c:formatCode>General</c:formatCode>
                <c:ptCount val="17"/>
                <c:pt idx="2">
                  <c:v>200</c:v>
                </c:pt>
                <c:pt idx="3">
                  <c:v>300</c:v>
                </c:pt>
                <c:pt idx="4">
                  <c:v>400</c:v>
                </c:pt>
                <c:pt idx="5">
                  <c:v>500</c:v>
                </c:pt>
                <c:pt idx="6">
                  <c:v>600</c:v>
                </c:pt>
                <c:pt idx="7">
                  <c:v>700</c:v>
                </c:pt>
                <c:pt idx="8">
                  <c:v>800</c:v>
                </c:pt>
                <c:pt idx="9">
                  <c:v>900</c:v>
                </c:pt>
                <c:pt idx="10">
                  <c:v>1000</c:v>
                </c:pt>
                <c:pt idx="11">
                  <c:v>1100</c:v>
                </c:pt>
                <c:pt idx="12">
                  <c:v>1200</c:v>
                </c:pt>
                <c:pt idx="13">
                  <c:v>1300</c:v>
                </c:pt>
                <c:pt idx="14">
                  <c:v>1400</c:v>
                </c:pt>
                <c:pt idx="15">
                  <c:v>1500</c:v>
                </c:pt>
                <c:pt idx="16">
                  <c:v>1600</c:v>
                </c:pt>
              </c:numCache>
            </c:numRef>
          </c:xVal>
          <c:yVal>
            <c:numRef>
              <c:f>PAAE!$C$25:$C$41</c:f>
              <c:numCache>
                <c:formatCode>0.0</c:formatCode>
                <c:ptCount val="17"/>
                <c:pt idx="2">
                  <c:v>7.3</c:v>
                </c:pt>
                <c:pt idx="3">
                  <c:v>4.1499999999999995</c:v>
                </c:pt>
                <c:pt idx="4">
                  <c:v>3.0999999999999996</c:v>
                </c:pt>
                <c:pt idx="5">
                  <c:v>2.5750000000000002</c:v>
                </c:pt>
                <c:pt idx="6">
                  <c:v>2.2600000000000002</c:v>
                </c:pt>
                <c:pt idx="7">
                  <c:v>2.0499999999999998</c:v>
                </c:pt>
                <c:pt idx="8">
                  <c:v>1.9</c:v>
                </c:pt>
                <c:pt idx="9">
                  <c:v>1.7874999999999999</c:v>
                </c:pt>
                <c:pt idx="10" formatCode="General">
                  <c:v>1.6999999999999997</c:v>
                </c:pt>
                <c:pt idx="11">
                  <c:v>1.63</c:v>
                </c:pt>
                <c:pt idx="12">
                  <c:v>1.5727272727272728</c:v>
                </c:pt>
                <c:pt idx="13">
                  <c:v>1.5249999999999999</c:v>
                </c:pt>
                <c:pt idx="14">
                  <c:v>1.4846153846153847</c:v>
                </c:pt>
                <c:pt idx="15">
                  <c:v>1.4499999999999997</c:v>
                </c:pt>
                <c:pt idx="16">
                  <c:v>1.4200000000000002</c:v>
                </c:pt>
              </c:numCache>
            </c:numRef>
          </c:yVal>
          <c:smooth val="0"/>
          <c:extLst>
            <c:ext xmlns:c16="http://schemas.microsoft.com/office/drawing/2014/chart" uri="{C3380CC4-5D6E-409C-BE32-E72D297353CC}">
              <c16:uniqueId val="{00000000-9437-417B-9483-F20B8AB13CD6}"/>
            </c:ext>
          </c:extLst>
        </c:ser>
        <c:dLbls>
          <c:showLegendKey val="0"/>
          <c:showVal val="0"/>
          <c:showCatName val="0"/>
          <c:showSerName val="0"/>
          <c:showPercent val="0"/>
          <c:showBubbleSize val="0"/>
        </c:dLbls>
        <c:axId val="563011760"/>
        <c:axId val="563020616"/>
      </c:scatterChart>
      <c:valAx>
        <c:axId val="563011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020616"/>
        <c:crosses val="autoZero"/>
        <c:crossBetween val="midCat"/>
      </c:valAx>
      <c:valAx>
        <c:axId val="563020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30117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BIDyn!$C$1</c:f>
              <c:strCache>
                <c:ptCount val="1"/>
                <c:pt idx="0">
                  <c:v>Inkomen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3.3832239720034997E-2"/>
                  <c:y val="-0.5130402449693788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BIDyn!$C$2:$C$3</c:f>
              <c:numCache>
                <c:formatCode>0</c:formatCode>
                <c:ptCount val="2"/>
                <c:pt idx="0" formatCode="General">
                  <c:v>0</c:v>
                </c:pt>
                <c:pt idx="1">
                  <c:v>150000</c:v>
                </c:pt>
              </c:numCache>
            </c:numRef>
          </c:xVal>
          <c:yVal>
            <c:numRef>
              <c:f>BIDyn!$D$2:$D$3</c:f>
              <c:numCache>
                <c:formatCode>General</c:formatCode>
                <c:ptCount val="2"/>
                <c:pt idx="0">
                  <c:v>12600</c:v>
                </c:pt>
                <c:pt idx="1">
                  <c:v>0</c:v>
                </c:pt>
              </c:numCache>
            </c:numRef>
          </c:yVal>
          <c:smooth val="0"/>
          <c:extLst>
            <c:ext xmlns:c16="http://schemas.microsoft.com/office/drawing/2014/chart" uri="{C3380CC4-5D6E-409C-BE32-E72D297353CC}">
              <c16:uniqueId val="{00000002-E006-4E36-9FAF-96012E207E79}"/>
            </c:ext>
          </c:extLst>
        </c:ser>
        <c:dLbls>
          <c:showLegendKey val="0"/>
          <c:showVal val="0"/>
          <c:showCatName val="0"/>
          <c:showSerName val="0"/>
          <c:showPercent val="0"/>
          <c:showBubbleSize val="0"/>
        </c:dLbls>
        <c:axId val="630642696"/>
        <c:axId val="630645976"/>
      </c:scatterChart>
      <c:valAx>
        <c:axId val="630642696"/>
        <c:scaling>
          <c:orientation val="minMax"/>
          <c:min val="10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5976"/>
        <c:crosses val="autoZero"/>
        <c:crossBetween val="midCat"/>
      </c:valAx>
      <c:valAx>
        <c:axId val="630645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26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6-F00D-4D37-ADA7-F1B6BA197203}"/>
            </c:ext>
          </c:extLst>
        </c:ser>
        <c:ser>
          <c:idx val="1"/>
          <c:order val="1"/>
          <c:tx>
            <c:v>Nú, vóór invoering BI</c:v>
          </c:tx>
          <c:spPr>
            <a:ln w="19050" cap="rnd">
              <a:solidFill>
                <a:schemeClr val="bg2">
                  <a:lumMod val="25000"/>
                </a:schemeClr>
              </a:solidFill>
              <a:round/>
            </a:ln>
            <a:effectLst/>
          </c:spPr>
          <c:marker>
            <c:symbol val="circle"/>
            <c:size val="5"/>
            <c:spPr>
              <a:solidFill>
                <a:schemeClr val="bg2">
                  <a:lumMod val="50000"/>
                </a:schemeClr>
              </a:solidFill>
              <a:ln w="12700">
                <a:solidFill>
                  <a:schemeClr val="bg2">
                    <a:lumMod val="50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8-F00D-4D37-ADA7-F1B6BA197203}"/>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29723753280839893"/>
          <c:h val="0.2079938243013740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600"/>
              <a:t>Marginale lasten</a:t>
            </a:r>
          </a:p>
          <a:p>
            <a:pPr>
              <a:defRPr/>
            </a:pPr>
            <a:r>
              <a:rPr lang="nl-NL" sz="1600"/>
              <a:t>(Uit IB en</a:t>
            </a:r>
            <a:r>
              <a:rPr lang="nl-NL" sz="1600" baseline="0"/>
              <a:t> afname BIDyn)</a:t>
            </a:r>
            <a:endParaRPr lang="nl-NL"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914260717410336E-2"/>
          <c:y val="0.21289389771835521"/>
          <c:w val="0.8655433070866142"/>
          <c:h val="0.62287640671121081"/>
        </c:manualLayout>
      </c:layout>
      <c:lineChart>
        <c:grouping val="standard"/>
        <c:varyColors val="0"/>
        <c:ser>
          <c:idx val="0"/>
          <c:order val="0"/>
          <c:tx>
            <c:strRef>
              <c:f>'Marginale lasten'!$B$148</c:f>
              <c:strCache>
                <c:ptCount val="1"/>
                <c:pt idx="0">
                  <c:v>CPB-Nibud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0-D3FF-4C9B-94BD-EFA0E1525EDD}"/>
            </c:ext>
          </c:extLst>
        </c:ser>
        <c:ser>
          <c:idx val="1"/>
          <c:order val="1"/>
          <c:tx>
            <c:strRef>
              <c:f>'Marginale lasten'!$B$151</c:f>
              <c:strCache>
                <c:ptCount val="1"/>
                <c:pt idx="0">
                  <c:v>BIDyn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1-D3FF-4C9B-94BD-EFA0E1525EDD}"/>
            </c:ext>
          </c:extLst>
        </c:ser>
        <c:ser>
          <c:idx val="2"/>
          <c:order val="2"/>
          <c:tx>
            <c:strRef>
              <c:f>'Marginale lasten'!$B$150</c:f>
              <c:strCache>
                <c:ptCount val="1"/>
                <c:pt idx="0">
                  <c:v>Situatie NU</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numRef>
              <c:f>'Marginale lasten'!$C$147:$L$147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2-D3FF-4C9B-94BD-EFA0E1525EDD}"/>
            </c:ext>
          </c:extLst>
        </c:ser>
        <c:dLbls>
          <c:showLegendKey val="0"/>
          <c:showVal val="0"/>
          <c:showCatName val="0"/>
          <c:showSerName val="0"/>
          <c:showPercent val="0"/>
          <c:showBubbleSize val="0"/>
        </c:dLbls>
        <c:marker val="1"/>
        <c:smooth val="0"/>
        <c:axId val="537035840"/>
        <c:axId val="537036496"/>
      </c:lineChart>
      <c:catAx>
        <c:axId val="537035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Inkomensdecielen</a:t>
                </a:r>
              </a:p>
            </c:rich>
          </c:tx>
          <c:layout>
            <c:manualLayout>
              <c:xMode val="edge"/>
              <c:yMode val="edge"/>
              <c:x val="0.34783158355205596"/>
              <c:y val="0.9000771858221057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6496"/>
        <c:crosses val="autoZero"/>
        <c:auto val="1"/>
        <c:lblAlgn val="ctr"/>
        <c:lblOffset val="100"/>
        <c:tickMarkSkip val="1"/>
        <c:noMultiLvlLbl val="0"/>
      </c:catAx>
      <c:valAx>
        <c:axId val="53703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2.2222222222222223E-2"/>
              <c:y val="4.4315828078490965E-2"/>
            </c:manualLayout>
          </c:layout>
          <c:overlay val="0"/>
          <c:spPr>
            <a:noFill/>
            <a:ln>
              <a:noFill/>
            </a:ln>
            <a:effectLst/>
          </c:spPr>
          <c:txPr>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37035840"/>
        <c:crosses val="autoZero"/>
        <c:crossBetween val="between"/>
      </c:valAx>
      <c:spPr>
        <a:noFill/>
        <a:ln>
          <a:noFill/>
        </a:ln>
        <a:effectLst/>
      </c:spPr>
    </c:plotArea>
    <c:legend>
      <c:legendPos val="r"/>
      <c:layout>
        <c:manualLayout>
          <c:xMode val="edge"/>
          <c:yMode val="edge"/>
          <c:x val="0.64601312335958005"/>
          <c:y val="0.54933020745070205"/>
          <c:w val="0.22401465441819776"/>
          <c:h val="0.2255338430379063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Marginale lasten BIDyn-bundel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'Marginale lasten'!$B$153</c:f>
              <c:strCache>
                <c:ptCount val="1"/>
                <c:pt idx="0">
                  <c:v>BIDyn-20</c:v>
                </c:pt>
              </c:strCache>
            </c:strRef>
          </c:tx>
          <c:spPr>
            <a:ln w="28575" cap="rnd">
              <a:solidFill>
                <a:srgbClr val="7030A0"/>
              </a:solidFill>
              <a:round/>
            </a:ln>
            <a:effectLst/>
          </c:spPr>
          <c:marker>
            <c:symbol val="circle"/>
            <c:size val="5"/>
            <c:spPr>
              <a:solidFill>
                <a:srgbClr val="7030A0"/>
              </a:solidFill>
              <a:ln w="9525">
                <a:solidFill>
                  <a:schemeClr val="accent1"/>
                </a:solidFill>
              </a:ln>
              <a:effectLst/>
            </c:spPr>
          </c:marker>
          <c:val>
            <c:numRef>
              <c:f>'Marginale lasten'!$C$153:$L$153</c:f>
              <c:numCache>
                <c:formatCode>0</c:formatCode>
                <c:ptCount val="10"/>
                <c:pt idx="0">
                  <c:v>5.6666666666666661</c:v>
                </c:pt>
                <c:pt idx="1">
                  <c:v>37.666666666666664</c:v>
                </c:pt>
                <c:pt idx="2">
                  <c:v>37.666666666666664</c:v>
                </c:pt>
                <c:pt idx="3">
                  <c:v>37.666666666666664</c:v>
                </c:pt>
                <c:pt idx="4">
                  <c:v>47.666666666666664</c:v>
                </c:pt>
                <c:pt idx="5">
                  <c:v>47.666666666666664</c:v>
                </c:pt>
                <c:pt idx="6">
                  <c:v>57.666666666666664</c:v>
                </c:pt>
                <c:pt idx="7">
                  <c:v>57.666666666666664</c:v>
                </c:pt>
                <c:pt idx="8">
                  <c:v>67.666666666666671</c:v>
                </c:pt>
                <c:pt idx="9">
                  <c:v>67.666666666666671</c:v>
                </c:pt>
              </c:numCache>
            </c:numRef>
          </c:val>
          <c:smooth val="0"/>
          <c:extLst>
            <c:ext xmlns:c16="http://schemas.microsoft.com/office/drawing/2014/chart" uri="{C3380CC4-5D6E-409C-BE32-E72D297353CC}">
              <c16:uniqueId val="{00000000-1D71-4585-8E38-A7E0B5E84CD1}"/>
            </c:ext>
          </c:extLst>
        </c:ser>
        <c:ser>
          <c:idx val="1"/>
          <c:order val="1"/>
          <c:tx>
            <c:strRef>
              <c:f>'Marginale lasten'!$B$152</c:f>
              <c:strCache>
                <c:ptCount val="1"/>
                <c:pt idx="0">
                  <c:v>BIDyn-40</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'Marginale lasten'!$C$152:$L$152</c:f>
              <c:numCache>
                <c:formatCode>0</c:formatCode>
                <c:ptCount val="10"/>
                <c:pt idx="0">
                  <c:v>7.333333333333333</c:v>
                </c:pt>
                <c:pt idx="1">
                  <c:v>37.333333333333336</c:v>
                </c:pt>
                <c:pt idx="2">
                  <c:v>37.333333333333336</c:v>
                </c:pt>
                <c:pt idx="3">
                  <c:v>37.333333333333336</c:v>
                </c:pt>
                <c:pt idx="4">
                  <c:v>47.333333333333336</c:v>
                </c:pt>
                <c:pt idx="5">
                  <c:v>47.333333333333336</c:v>
                </c:pt>
                <c:pt idx="6">
                  <c:v>57.333333333333336</c:v>
                </c:pt>
                <c:pt idx="7">
                  <c:v>57.333333333333336</c:v>
                </c:pt>
                <c:pt idx="8">
                  <c:v>67.333333333333329</c:v>
                </c:pt>
                <c:pt idx="9">
                  <c:v>67.333333333333329</c:v>
                </c:pt>
              </c:numCache>
            </c:numRef>
          </c:val>
          <c:smooth val="0"/>
          <c:extLst>
            <c:ext xmlns:c16="http://schemas.microsoft.com/office/drawing/2014/chart" uri="{C3380CC4-5D6E-409C-BE32-E72D297353CC}">
              <c16:uniqueId val="{00000001-1D71-4585-8E38-A7E0B5E84CD1}"/>
            </c:ext>
          </c:extLst>
        </c:ser>
        <c:ser>
          <c:idx val="2"/>
          <c:order val="2"/>
          <c:tx>
            <c:strRef>
              <c:f>'Marginale lasten'!$B$151</c:f>
              <c:strCache>
                <c:ptCount val="1"/>
                <c:pt idx="0">
                  <c:v>BIDyn</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5">
                    <a:lumMod val="75000"/>
                  </a:schemeClr>
                </a:solidFill>
              </a:ln>
              <a:effectLst/>
            </c:spPr>
          </c:marker>
          <c:val>
            <c:numRef>
              <c:f>'Marginale lasten'!$C$151:$L$151</c:f>
              <c:numCache>
                <c:formatCode>0</c:formatCode>
                <c:ptCount val="10"/>
                <c:pt idx="0">
                  <c:v>8.4</c:v>
                </c:pt>
                <c:pt idx="1">
                  <c:v>39.4</c:v>
                </c:pt>
                <c:pt idx="2">
                  <c:v>39.4</c:v>
                </c:pt>
                <c:pt idx="3">
                  <c:v>39.4</c:v>
                </c:pt>
                <c:pt idx="4">
                  <c:v>46.4</c:v>
                </c:pt>
                <c:pt idx="5">
                  <c:v>46.4</c:v>
                </c:pt>
                <c:pt idx="6">
                  <c:v>58.4</c:v>
                </c:pt>
                <c:pt idx="7">
                  <c:v>58.4</c:v>
                </c:pt>
                <c:pt idx="8">
                  <c:v>58.4</c:v>
                </c:pt>
                <c:pt idx="9">
                  <c:v>68.400000000000006</c:v>
                </c:pt>
              </c:numCache>
            </c:numRef>
          </c:val>
          <c:smooth val="0"/>
          <c:extLst>
            <c:ext xmlns:c16="http://schemas.microsoft.com/office/drawing/2014/chart" uri="{C3380CC4-5D6E-409C-BE32-E72D297353CC}">
              <c16:uniqueId val="{00000002-1D71-4585-8E38-A7E0B5E84CD1}"/>
            </c:ext>
          </c:extLst>
        </c:ser>
        <c:ser>
          <c:idx val="3"/>
          <c:order val="3"/>
          <c:tx>
            <c:strRef>
              <c:f>'Marginale lasten'!$B$150</c:f>
              <c:strCache>
                <c:ptCount val="1"/>
                <c:pt idx="0">
                  <c:v>Situatie NU</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val>
            <c:numRef>
              <c:f>'Marginale lasten'!$C$150:$L$150</c:f>
              <c:numCache>
                <c:formatCode>0</c:formatCode>
                <c:ptCount val="10"/>
                <c:pt idx="0">
                  <c:v>0</c:v>
                </c:pt>
                <c:pt idx="1">
                  <c:v>34.287999999999897</c:v>
                </c:pt>
                <c:pt idx="2">
                  <c:v>33.231552138292173</c:v>
                </c:pt>
                <c:pt idx="3">
                  <c:v>33.231552138292173</c:v>
                </c:pt>
                <c:pt idx="4">
                  <c:v>33.231552138290809</c:v>
                </c:pt>
                <c:pt idx="5">
                  <c:v>41.115999999999985</c:v>
                </c:pt>
                <c:pt idx="6">
                  <c:v>48.772000000000844</c:v>
                </c:pt>
                <c:pt idx="7">
                  <c:v>48.772000000000844</c:v>
                </c:pt>
                <c:pt idx="8">
                  <c:v>48.771999999997206</c:v>
                </c:pt>
                <c:pt idx="9">
                  <c:v>49.5</c:v>
                </c:pt>
              </c:numCache>
            </c:numRef>
          </c:val>
          <c:smooth val="0"/>
          <c:extLst>
            <c:ext xmlns:c16="http://schemas.microsoft.com/office/drawing/2014/chart" uri="{C3380CC4-5D6E-409C-BE32-E72D297353CC}">
              <c16:uniqueId val="{00000003-1D71-4585-8E38-A7E0B5E84CD1}"/>
            </c:ext>
          </c:extLst>
        </c:ser>
        <c:ser>
          <c:idx val="4"/>
          <c:order val="4"/>
          <c:tx>
            <c:strRef>
              <c:f>'Marginale lasten'!$B$148</c:f>
              <c:strCache>
                <c:ptCount val="1"/>
                <c:pt idx="0">
                  <c:v>CPB-Nibud</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val>
            <c:numRef>
              <c:f>'Marginale lasten'!$C$148:$L$148</c:f>
              <c:numCache>
                <c:formatCode>0</c:formatCode>
                <c:ptCount val="10"/>
                <c:pt idx="0">
                  <c:v>0</c:v>
                </c:pt>
                <c:pt idx="1">
                  <c:v>68.595664103718235</c:v>
                </c:pt>
                <c:pt idx="2">
                  <c:v>73.775104276583335</c:v>
                </c:pt>
                <c:pt idx="3">
                  <c:v>73.775104276584244</c:v>
                </c:pt>
                <c:pt idx="4">
                  <c:v>73.775104276584244</c:v>
                </c:pt>
                <c:pt idx="5">
                  <c:v>56.716000000000349</c:v>
                </c:pt>
                <c:pt idx="6">
                  <c:v>64.371999999999389</c:v>
                </c:pt>
                <c:pt idx="7">
                  <c:v>64.372000000003027</c:v>
                </c:pt>
                <c:pt idx="8">
                  <c:v>64.372000000003027</c:v>
                </c:pt>
                <c:pt idx="9">
                  <c:v>70.400000000008731</c:v>
                </c:pt>
              </c:numCache>
            </c:numRef>
          </c:val>
          <c:smooth val="0"/>
          <c:extLst>
            <c:ext xmlns:c16="http://schemas.microsoft.com/office/drawing/2014/chart" uri="{C3380CC4-5D6E-409C-BE32-E72D297353CC}">
              <c16:uniqueId val="{00000004-1D71-4585-8E38-A7E0B5E84CD1}"/>
            </c:ext>
          </c:extLst>
        </c:ser>
        <c:ser>
          <c:idx val="5"/>
          <c:order val="5"/>
          <c:tx>
            <c:strRef>
              <c:f>'Marginale lasten'!$B$154</c:f>
              <c:strCache>
                <c:ptCount val="1"/>
                <c:pt idx="0">
                  <c:v>BIDyn-0 (light)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val>
            <c:numRef>
              <c:f>'Marginale lasten'!$C$154:$L$154</c:f>
              <c:numCache>
                <c:formatCode>0</c:formatCode>
                <c:ptCount val="10"/>
                <c:pt idx="0">
                  <c:v>4.3999999999999995</c:v>
                </c:pt>
                <c:pt idx="1">
                  <c:v>40.4</c:v>
                </c:pt>
                <c:pt idx="2">
                  <c:v>40.4</c:v>
                </c:pt>
                <c:pt idx="3">
                  <c:v>40.4</c:v>
                </c:pt>
                <c:pt idx="4">
                  <c:v>44.4</c:v>
                </c:pt>
                <c:pt idx="5">
                  <c:v>44.4</c:v>
                </c:pt>
                <c:pt idx="6">
                  <c:v>54.4</c:v>
                </c:pt>
                <c:pt idx="7">
                  <c:v>54.4</c:v>
                </c:pt>
                <c:pt idx="8">
                  <c:v>74.400000000000006</c:v>
                </c:pt>
                <c:pt idx="9">
                  <c:v>74.400000000000006</c:v>
                </c:pt>
              </c:numCache>
            </c:numRef>
          </c:val>
          <c:smooth val="0"/>
          <c:extLst>
            <c:ext xmlns:c16="http://schemas.microsoft.com/office/drawing/2014/chart" uri="{C3380CC4-5D6E-409C-BE32-E72D297353CC}">
              <c16:uniqueId val="{00000005-1D71-4585-8E38-A7E0B5E84CD1}"/>
            </c:ext>
          </c:extLst>
        </c:ser>
        <c:dLbls>
          <c:showLegendKey val="0"/>
          <c:showVal val="0"/>
          <c:showCatName val="0"/>
          <c:showSerName val="0"/>
          <c:showPercent val="0"/>
          <c:showBubbleSize val="0"/>
        </c:dLbls>
        <c:marker val="1"/>
        <c:smooth val="0"/>
        <c:axId val="637827600"/>
        <c:axId val="637827928"/>
      </c:lineChart>
      <c:catAx>
        <c:axId val="637827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928"/>
        <c:crosses val="autoZero"/>
        <c:auto val="1"/>
        <c:lblAlgn val="ctr"/>
        <c:lblOffset val="100"/>
        <c:noMultiLvlLbl val="0"/>
      </c:catAx>
      <c:valAx>
        <c:axId val="637827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827600"/>
        <c:crosses val="autoZero"/>
        <c:crossBetween val="between"/>
      </c:valAx>
      <c:spPr>
        <a:noFill/>
        <a:ln>
          <a:noFill/>
        </a:ln>
        <a:effectLst/>
      </c:spPr>
    </c:plotArea>
    <c:legend>
      <c:legendPos val="r"/>
      <c:overlay val="0"/>
      <c:spPr>
        <a:noFill/>
        <a:ln>
          <a:solidFill>
            <a:schemeClr val="accent6">
              <a:lumMod val="7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5450568678915135E-3"/>
                  <c:y val="-0.4343365412656751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'BIDyn light'!$C$2:$C$3</c:f>
              <c:numCache>
                <c:formatCode>0</c:formatCode>
                <c:ptCount val="2"/>
                <c:pt idx="0" formatCode="General">
                  <c:v>0</c:v>
                </c:pt>
                <c:pt idx="1">
                  <c:v>150000</c:v>
                </c:pt>
              </c:numCache>
            </c:numRef>
          </c:xVal>
          <c:yVal>
            <c:numRef>
              <c:f>'BIDyn light'!$D$2:$D$3</c:f>
              <c:numCache>
                <c:formatCode>General</c:formatCode>
                <c:ptCount val="2"/>
                <c:pt idx="0">
                  <c:v>6600</c:v>
                </c:pt>
                <c:pt idx="1">
                  <c:v>0</c:v>
                </c:pt>
              </c:numCache>
            </c:numRef>
          </c:yVal>
          <c:smooth val="0"/>
          <c:extLst>
            <c:ext xmlns:c16="http://schemas.microsoft.com/office/drawing/2014/chart" uri="{C3380CC4-5D6E-409C-BE32-E72D297353CC}">
              <c16:uniqueId val="{00000003-1B55-4CCA-93CF-E34CA44A47CF}"/>
            </c:ext>
          </c:extLst>
        </c:ser>
        <c:dLbls>
          <c:showLegendKey val="0"/>
          <c:showVal val="0"/>
          <c:showCatName val="0"/>
          <c:showSerName val="0"/>
          <c:showPercent val="0"/>
          <c:showBubbleSize val="0"/>
        </c:dLbls>
        <c:axId val="630642696"/>
        <c:axId val="630645976"/>
      </c:scatterChart>
      <c:valAx>
        <c:axId val="63064269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5976"/>
        <c:crosses val="autoZero"/>
        <c:crossBetween val="midCat"/>
      </c:valAx>
      <c:valAx>
        <c:axId val="630645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6426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Besteedbaar Netto-inkomen</a:t>
            </a:r>
          </a:p>
        </c:rich>
      </c:tx>
      <c:layout>
        <c:manualLayout>
          <c:xMode val="edge"/>
          <c:yMode val="edge"/>
          <c:x val="0.27148600174978127"/>
          <c:y val="2.4427484831397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383858267716535"/>
          <c:y val="0.14456445885440788"/>
          <c:w val="0.83707042869641302"/>
          <c:h val="0.70097699552261861"/>
        </c:manualLayout>
      </c:layout>
      <c:lineChart>
        <c:grouping val="standard"/>
        <c:varyColors val="0"/>
        <c:ser>
          <c:idx val="0"/>
          <c:order val="0"/>
          <c:tx>
            <c:v>BIDyn</c:v>
          </c:tx>
          <c:spPr>
            <a:ln w="19050" cap="rnd">
              <a:solidFill>
                <a:schemeClr val="accent1">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numRef>
              <c:f>BIDyn!$B$115:$K$115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BIDyn!$B$121:$K$121</c:f>
              <c:numCache>
                <c:formatCode>0</c:formatCode>
                <c:ptCount val="10"/>
                <c:pt idx="0">
                  <c:v>3900</c:v>
                </c:pt>
                <c:pt idx="1">
                  <c:v>18051</c:v>
                </c:pt>
                <c:pt idx="2">
                  <c:v>22498.326000000001</c:v>
                </c:pt>
                <c:pt idx="3">
                  <c:v>25216.098000000002</c:v>
                </c:pt>
                <c:pt idx="4">
                  <c:v>28911.723999999998</c:v>
                </c:pt>
                <c:pt idx="5">
                  <c:v>32830.372000000003</c:v>
                </c:pt>
                <c:pt idx="6">
                  <c:v>37507.699999999997</c:v>
                </c:pt>
                <c:pt idx="7">
                  <c:v>41996.1</c:v>
                </c:pt>
                <c:pt idx="8">
                  <c:v>48774.5</c:v>
                </c:pt>
                <c:pt idx="9">
                  <c:v>67054.320000000007</c:v>
                </c:pt>
              </c:numCache>
            </c:numRef>
          </c:val>
          <c:smooth val="0"/>
          <c:extLst>
            <c:ext xmlns:c16="http://schemas.microsoft.com/office/drawing/2014/chart" uri="{C3380CC4-5D6E-409C-BE32-E72D297353CC}">
              <c16:uniqueId val="{00000000-8F26-4439-8BC1-2476D538CD35}"/>
            </c:ext>
          </c:extLst>
        </c:ser>
        <c:ser>
          <c:idx val="1"/>
          <c:order val="1"/>
          <c:tx>
            <c:v>Nú, vóór invoering BI</c:v>
          </c:tx>
          <c:spPr>
            <a:ln w="19050" cap="rnd">
              <a:solidFill>
                <a:schemeClr val="accent6">
                  <a:lumMod val="75000"/>
                </a:schemeClr>
              </a:solidFill>
              <a:round/>
            </a:ln>
            <a:effectLst/>
          </c:spPr>
          <c:marker>
            <c:symbol val="circle"/>
            <c:size val="5"/>
            <c:spPr>
              <a:solidFill>
                <a:schemeClr val="accent6">
                  <a:lumMod val="75000"/>
                </a:schemeClr>
              </a:solidFill>
              <a:ln w="12700">
                <a:solidFill>
                  <a:schemeClr val="accent6">
                    <a:lumMod val="75000"/>
                  </a:schemeClr>
                </a:solidFill>
              </a:ln>
              <a:effectLst/>
            </c:spPr>
          </c:marker>
          <c:val>
            <c:numRef>
              <c:f>BIDyn!$B$56:$K$56</c:f>
              <c:numCache>
                <c:formatCode>0</c:formatCode>
                <c:ptCount val="10"/>
                <c:pt idx="0">
                  <c:v>2400</c:v>
                </c:pt>
                <c:pt idx="1">
                  <c:v>8929.89</c:v>
                </c:pt>
                <c:pt idx="2">
                  <c:v>13302.089480000001</c:v>
                </c:pt>
                <c:pt idx="3">
                  <c:v>17234.955480000001</c:v>
                </c:pt>
                <c:pt idx="4">
                  <c:v>21608.44512</c:v>
                </c:pt>
                <c:pt idx="5">
                  <c:v>25654.19112</c:v>
                </c:pt>
                <c:pt idx="6">
                  <c:v>30142.189920000001</c:v>
                </c:pt>
                <c:pt idx="7">
                  <c:v>35138.033920000002</c:v>
                </c:pt>
                <c:pt idx="8">
                  <c:v>42682.77792</c:v>
                </c:pt>
                <c:pt idx="9">
                  <c:v>65792.6005</c:v>
                </c:pt>
              </c:numCache>
            </c:numRef>
          </c:val>
          <c:smooth val="0"/>
          <c:extLst>
            <c:ext xmlns:c16="http://schemas.microsoft.com/office/drawing/2014/chart" uri="{C3380CC4-5D6E-409C-BE32-E72D297353CC}">
              <c16:uniqueId val="{00000001-8F26-4439-8BC1-2476D538CD35}"/>
            </c:ext>
          </c:extLst>
        </c:ser>
        <c:ser>
          <c:idx val="2"/>
          <c:order val="2"/>
          <c:tx>
            <c:v>BIDyn-light</c:v>
          </c:tx>
          <c:spPr>
            <a:ln w="19050" cap="rnd">
              <a:solidFill>
                <a:srgbClr val="FF0000"/>
              </a:solidFill>
              <a:round/>
            </a:ln>
            <a:effectLst/>
          </c:spPr>
          <c:marker>
            <c:symbol val="circle"/>
            <c:size val="5"/>
            <c:spPr>
              <a:solidFill>
                <a:srgbClr val="FF0000"/>
              </a:solidFill>
              <a:ln w="9525">
                <a:solidFill>
                  <a:srgbClr val="FF0000"/>
                </a:solidFill>
              </a:ln>
              <a:effectLst/>
            </c:spPr>
          </c:marker>
          <c:val>
            <c:numRef>
              <c:f>'BIDyn light'!$B$121:$K$121</c:f>
              <c:numCache>
                <c:formatCode>0</c:formatCode>
                <c:ptCount val="10"/>
                <c:pt idx="0">
                  <c:v>3900</c:v>
                </c:pt>
                <c:pt idx="1">
                  <c:v>13973.184000000001</c:v>
                </c:pt>
                <c:pt idx="2">
                  <c:v>17570.495999999999</c:v>
                </c:pt>
                <c:pt idx="3">
                  <c:v>20201.407999999999</c:v>
                </c:pt>
                <c:pt idx="4">
                  <c:v>23663.919999999998</c:v>
                </c:pt>
                <c:pt idx="5">
                  <c:v>27621.759999999998</c:v>
                </c:pt>
                <c:pt idx="6">
                  <c:v>31608.2</c:v>
                </c:pt>
                <c:pt idx="7">
                  <c:v>36292.6</c:v>
                </c:pt>
                <c:pt idx="8">
                  <c:v>42714.6</c:v>
                </c:pt>
                <c:pt idx="9">
                  <c:v>56853.840000000004</c:v>
                </c:pt>
              </c:numCache>
            </c:numRef>
          </c:val>
          <c:smooth val="0"/>
          <c:extLst>
            <c:ext xmlns:c16="http://schemas.microsoft.com/office/drawing/2014/chart" uri="{C3380CC4-5D6E-409C-BE32-E72D297353CC}">
              <c16:uniqueId val="{00000001-6063-40CB-BFD9-1DDFE8485C92}"/>
            </c:ext>
          </c:extLst>
        </c:ser>
        <c:ser>
          <c:idx val="3"/>
          <c:order val="3"/>
          <c:tx>
            <c:v>AONI</c:v>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AONI!$B$106:$K$106</c:f>
              <c:numCache>
                <c:formatCode>0</c:formatCode>
                <c:ptCount val="10"/>
                <c:pt idx="0">
                  <c:v>3900</c:v>
                </c:pt>
                <c:pt idx="1">
                  <c:v>18714</c:v>
                </c:pt>
                <c:pt idx="2">
                  <c:v>21066</c:v>
                </c:pt>
                <c:pt idx="3">
                  <c:v>23130</c:v>
                </c:pt>
                <c:pt idx="4">
                  <c:v>25776</c:v>
                </c:pt>
                <c:pt idx="5">
                  <c:v>27846</c:v>
                </c:pt>
                <c:pt idx="6">
                  <c:v>30336</c:v>
                </c:pt>
                <c:pt idx="7">
                  <c:v>33276</c:v>
                </c:pt>
                <c:pt idx="8">
                  <c:v>35901</c:v>
                </c:pt>
                <c:pt idx="9">
                  <c:v>43296</c:v>
                </c:pt>
              </c:numCache>
            </c:numRef>
          </c:val>
          <c:smooth val="0"/>
          <c:extLst>
            <c:ext xmlns:c16="http://schemas.microsoft.com/office/drawing/2014/chart" uri="{C3380CC4-5D6E-409C-BE32-E72D297353CC}">
              <c16:uniqueId val="{00000001-E69D-4D49-AC51-2288C00D3191}"/>
            </c:ext>
          </c:extLst>
        </c:ser>
        <c:dLbls>
          <c:showLegendKey val="0"/>
          <c:showVal val="0"/>
          <c:showCatName val="0"/>
          <c:showSerName val="0"/>
          <c:showPercent val="0"/>
          <c:showBubbleSize val="0"/>
        </c:dLbls>
        <c:marker val="1"/>
        <c:smooth val="0"/>
        <c:axId val="572387168"/>
        <c:axId val="572388480"/>
      </c:lineChart>
      <c:catAx>
        <c:axId val="5723871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200"/>
                  <a:t>Inkomensdecielen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8480"/>
        <c:crosses val="autoZero"/>
        <c:auto val="1"/>
        <c:lblAlgn val="ctr"/>
        <c:lblOffset val="100"/>
        <c:noMultiLvlLbl val="0"/>
      </c:catAx>
      <c:valAx>
        <c:axId val="57238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sz="1400"/>
                  <a:t>€</a:t>
                </a:r>
              </a:p>
            </c:rich>
          </c:tx>
          <c:layout>
            <c:manualLayout>
              <c:xMode val="edge"/>
              <c:yMode val="edge"/>
              <c:x val="3.3333333333333333E-2"/>
              <c:y val="4.2327830310405372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2387168"/>
        <c:crosses val="autoZero"/>
        <c:crossBetween val="between"/>
      </c:valAx>
      <c:spPr>
        <a:noFill/>
        <a:ln>
          <a:noFill/>
        </a:ln>
        <a:effectLst/>
      </c:spPr>
    </c:plotArea>
    <c:legend>
      <c:legendPos val="r"/>
      <c:layout>
        <c:manualLayout>
          <c:xMode val="edge"/>
          <c:yMode val="edge"/>
          <c:x val="0.16387357830271215"/>
          <c:y val="0.18510977304307549"/>
          <c:w val="0.34166666666666667"/>
          <c:h val="0.30267716535433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7.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chart" Target="../charts/chart22.xml"/><Relationship Id="rId4"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8.xml"/><Relationship Id="rId7" Type="http://schemas.openxmlformats.org/officeDocument/2006/relationships/image" Target="../media/image1.png"/><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11" Type="http://schemas.openxmlformats.org/officeDocument/2006/relationships/chart" Target="../charts/chart35.xml"/><Relationship Id="rId5" Type="http://schemas.openxmlformats.org/officeDocument/2006/relationships/chart" Target="../charts/chart30.xml"/><Relationship Id="rId10" Type="http://schemas.openxmlformats.org/officeDocument/2006/relationships/chart" Target="../charts/chart34.xml"/><Relationship Id="rId4" Type="http://schemas.openxmlformats.org/officeDocument/2006/relationships/chart" Target="../charts/chart29.xml"/><Relationship Id="rId9"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13</xdr:col>
      <xdr:colOff>609599</xdr:colOff>
      <xdr:row>17</xdr:row>
      <xdr:rowOff>178593</xdr:rowOff>
    </xdr:from>
    <xdr:to>
      <xdr:col>19</xdr:col>
      <xdr:colOff>511969</xdr:colOff>
      <xdr:row>35</xdr:row>
      <xdr:rowOff>0</xdr:rowOff>
    </xdr:to>
    <xdr:graphicFrame macro="">
      <xdr:nvGraphicFramePr>
        <xdr:cNvPr id="2" name="Grafiek 1">
          <a:extLst>
            <a:ext uri="{FF2B5EF4-FFF2-40B4-BE49-F238E27FC236}">
              <a16:creationId xmlns:a16="http://schemas.microsoft.com/office/drawing/2014/main" id="{5D27B3E0-A696-4652-B234-2C0198D55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0.5875</cdr:x>
      <cdr:y>0.89592</cdr:y>
    </cdr:from>
    <cdr:to>
      <cdr:x>0.86667</cdr:x>
      <cdr:y>1</cdr:y>
    </cdr:to>
    <cdr:sp macro="" textlink="">
      <cdr:nvSpPr>
        <cdr:cNvPr id="2" name="Tekstvak 1">
          <a:extLst xmlns:a="http://schemas.openxmlformats.org/drawingml/2006/main">
            <a:ext uri="{FF2B5EF4-FFF2-40B4-BE49-F238E27FC236}">
              <a16:creationId xmlns:a16="http://schemas.microsoft.com/office/drawing/2014/main" id="{148E886B-3E7C-47D8-A025-5FEE1F057C3B}"/>
            </a:ext>
          </a:extLst>
        </cdr:cNvPr>
        <cdr:cNvSpPr txBox="1"/>
      </cdr:nvSpPr>
      <cdr:spPr>
        <a:xfrm xmlns:a="http://schemas.openxmlformats.org/drawingml/2006/main">
          <a:off x="2686050" y="3033714"/>
          <a:ext cx="1276350" cy="3524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nl-NL" sz="1400"/>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9525</xdr:colOff>
      <xdr:row>11</xdr:row>
      <xdr:rowOff>157162</xdr:rowOff>
    </xdr:from>
    <xdr:to>
      <xdr:col>12</xdr:col>
      <xdr:colOff>314325</xdr:colOff>
      <xdr:row>26</xdr:row>
      <xdr:rowOff>42862</xdr:rowOff>
    </xdr:to>
    <xdr:graphicFrame macro="">
      <xdr:nvGraphicFramePr>
        <xdr:cNvPr id="3" name="Grafiek 2">
          <a:extLst>
            <a:ext uri="{FF2B5EF4-FFF2-40B4-BE49-F238E27FC236}">
              <a16:creationId xmlns:a16="http://schemas.microsoft.com/office/drawing/2014/main" id="{FF977639-2097-477E-99BB-879755607D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xdr:colOff>
      <xdr:row>28</xdr:row>
      <xdr:rowOff>14287</xdr:rowOff>
    </xdr:from>
    <xdr:to>
      <xdr:col>12</xdr:col>
      <xdr:colOff>328612</xdr:colOff>
      <xdr:row>42</xdr:row>
      <xdr:rowOff>90487</xdr:rowOff>
    </xdr:to>
    <xdr:graphicFrame macro="">
      <xdr:nvGraphicFramePr>
        <xdr:cNvPr id="4" name="Grafiek 3">
          <a:extLst>
            <a:ext uri="{FF2B5EF4-FFF2-40B4-BE49-F238E27FC236}">
              <a16:creationId xmlns:a16="http://schemas.microsoft.com/office/drawing/2014/main" id="{42C86BD8-F8E6-4E1E-8182-70ECE1B9BB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604837</xdr:colOff>
      <xdr:row>23</xdr:row>
      <xdr:rowOff>42862</xdr:rowOff>
    </xdr:from>
    <xdr:to>
      <xdr:col>10</xdr:col>
      <xdr:colOff>404812</xdr:colOff>
      <xdr:row>37</xdr:row>
      <xdr:rowOff>119062</xdr:rowOff>
    </xdr:to>
    <xdr:graphicFrame macro="">
      <xdr:nvGraphicFramePr>
        <xdr:cNvPr id="9" name="Grafiek 8">
          <a:extLst>
            <a:ext uri="{FF2B5EF4-FFF2-40B4-BE49-F238E27FC236}">
              <a16:creationId xmlns:a16="http://schemas.microsoft.com/office/drawing/2014/main" id="{08D27B31-7059-499D-B7B7-40D3170953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500062</xdr:colOff>
      <xdr:row>40</xdr:row>
      <xdr:rowOff>52387</xdr:rowOff>
    </xdr:from>
    <xdr:to>
      <xdr:col>11</xdr:col>
      <xdr:colOff>485775</xdr:colOff>
      <xdr:row>54</xdr:row>
      <xdr:rowOff>128587</xdr:rowOff>
    </xdr:to>
    <xdr:graphicFrame macro="">
      <xdr:nvGraphicFramePr>
        <xdr:cNvPr id="11" name="Grafiek 10">
          <a:extLst>
            <a:ext uri="{FF2B5EF4-FFF2-40B4-BE49-F238E27FC236}">
              <a16:creationId xmlns:a16="http://schemas.microsoft.com/office/drawing/2014/main" id="{BF31B610-51BF-4E18-9751-80DD50A540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190500</xdr:colOff>
      <xdr:row>46</xdr:row>
      <xdr:rowOff>76200</xdr:rowOff>
    </xdr:from>
    <xdr:ext cx="542136" cy="264560"/>
    <xdr:sp macro="" textlink="">
      <xdr:nvSpPr>
        <xdr:cNvPr id="12" name="Tekstvak 11">
          <a:extLst>
            <a:ext uri="{FF2B5EF4-FFF2-40B4-BE49-F238E27FC236}">
              <a16:creationId xmlns:a16="http://schemas.microsoft.com/office/drawing/2014/main" id="{D2B68915-A1A5-4E16-95F3-5B40D51BCCBD}"/>
            </a:ext>
          </a:extLst>
        </xdr:cNvPr>
        <xdr:cNvSpPr txBox="1"/>
      </xdr:nvSpPr>
      <xdr:spPr>
        <a:xfrm>
          <a:off x="6791325" y="8839200"/>
          <a:ext cx="5421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a:t>18600</a:t>
          </a:r>
        </a:p>
      </xdr:txBody>
    </xdr:sp>
    <xdr:clientData/>
  </xdr:oneCellAnchor>
  <xdr:oneCellAnchor>
    <xdr:from>
      <xdr:col>10</xdr:col>
      <xdr:colOff>190500</xdr:colOff>
      <xdr:row>47</xdr:row>
      <xdr:rowOff>152400</xdr:rowOff>
    </xdr:from>
    <xdr:ext cx="542136" cy="264560"/>
    <xdr:sp macro="" textlink="">
      <xdr:nvSpPr>
        <xdr:cNvPr id="13" name="Tekstvak 12">
          <a:extLst>
            <a:ext uri="{FF2B5EF4-FFF2-40B4-BE49-F238E27FC236}">
              <a16:creationId xmlns:a16="http://schemas.microsoft.com/office/drawing/2014/main" id="{E729734B-A7AC-4E5A-A021-6A12B408142C}"/>
            </a:ext>
          </a:extLst>
        </xdr:cNvPr>
        <xdr:cNvSpPr txBox="1"/>
      </xdr:nvSpPr>
      <xdr:spPr>
        <a:xfrm>
          <a:off x="6791325" y="9105900"/>
          <a:ext cx="54213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a:t>20660</a:t>
          </a:r>
        </a:p>
      </xdr:txBody>
    </xdr:sp>
    <xdr:clientData/>
  </xdr:oneCellAnchor>
  <xdr:oneCellAnchor>
    <xdr:from>
      <xdr:col>11</xdr:col>
      <xdr:colOff>86603</xdr:colOff>
      <xdr:row>43</xdr:row>
      <xdr:rowOff>176521</xdr:rowOff>
    </xdr:from>
    <xdr:ext cx="311496" cy="1291957"/>
    <xdr:sp macro="" textlink="">
      <xdr:nvSpPr>
        <xdr:cNvPr id="14" name="Tekstvak 13">
          <a:extLst>
            <a:ext uri="{FF2B5EF4-FFF2-40B4-BE49-F238E27FC236}">
              <a16:creationId xmlns:a16="http://schemas.microsoft.com/office/drawing/2014/main" id="{B4155133-3E64-4907-B682-F916E16F2067}"/>
            </a:ext>
          </a:extLst>
        </xdr:cNvPr>
        <xdr:cNvSpPr txBox="1"/>
      </xdr:nvSpPr>
      <xdr:spPr>
        <a:xfrm rot="5400000">
          <a:off x="6806797" y="8858252"/>
          <a:ext cx="12919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400"/>
            <a:t>Bruto-Inkomen</a:t>
          </a:r>
        </a:p>
      </xdr:txBody>
    </xdr:sp>
    <xdr:clientData/>
  </xdr:oneCellAnchor>
  <xdr:oneCellAnchor>
    <xdr:from>
      <xdr:col>4</xdr:col>
      <xdr:colOff>578320</xdr:colOff>
      <xdr:row>46</xdr:row>
      <xdr:rowOff>88430</xdr:rowOff>
    </xdr:from>
    <xdr:ext cx="311496" cy="572786"/>
    <xdr:sp macro="" textlink="">
      <xdr:nvSpPr>
        <xdr:cNvPr id="15" name="Tekstvak 14">
          <a:extLst>
            <a:ext uri="{FF2B5EF4-FFF2-40B4-BE49-F238E27FC236}">
              <a16:creationId xmlns:a16="http://schemas.microsoft.com/office/drawing/2014/main" id="{53B83EE3-EC57-4EF3-B197-F2B9789ADCA5}"/>
            </a:ext>
          </a:extLst>
        </xdr:cNvPr>
        <xdr:cNvSpPr txBox="1"/>
      </xdr:nvSpPr>
      <xdr:spPr>
        <a:xfrm rot="16200000">
          <a:off x="2886075" y="8982075"/>
          <a:ext cx="5727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400"/>
            <a:t>PAAE</a:t>
          </a:r>
        </a:p>
      </xdr:txBody>
    </xdr:sp>
    <xdr:clientData/>
  </xdr:oneCellAnchor>
  <xdr:oneCellAnchor>
    <xdr:from>
      <xdr:col>6</xdr:col>
      <xdr:colOff>323850</xdr:colOff>
      <xdr:row>53</xdr:row>
      <xdr:rowOff>28575</xdr:rowOff>
    </xdr:from>
    <xdr:ext cx="1492012" cy="311496"/>
    <xdr:sp macro="" textlink="">
      <xdr:nvSpPr>
        <xdr:cNvPr id="16" name="Tekstvak 15">
          <a:extLst>
            <a:ext uri="{FF2B5EF4-FFF2-40B4-BE49-F238E27FC236}">
              <a16:creationId xmlns:a16="http://schemas.microsoft.com/office/drawing/2014/main" id="{A06966A7-6B64-45BA-A641-C2471FC944FA}"/>
            </a:ext>
          </a:extLst>
        </xdr:cNvPr>
        <xdr:cNvSpPr txBox="1"/>
      </xdr:nvSpPr>
      <xdr:spPr>
        <a:xfrm>
          <a:off x="4486275" y="10125075"/>
          <a:ext cx="14920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400"/>
            <a:t>Aantal Uren Werk</a:t>
          </a:r>
        </a:p>
      </xdr:txBody>
    </xdr:sp>
    <xdr:clientData/>
  </xdr:oneCellAnchor>
</xdr:wsDr>
</file>

<file path=xl/drawings/drawing13.xml><?xml version="1.0" encoding="utf-8"?>
<c:userShapes xmlns:c="http://schemas.openxmlformats.org/drawingml/2006/chart">
  <cdr:relSizeAnchor xmlns:cdr="http://schemas.openxmlformats.org/drawingml/2006/chartDrawing">
    <cdr:from>
      <cdr:x>0.81349</cdr:x>
      <cdr:y>0.17535</cdr:y>
    </cdr:from>
    <cdr:to>
      <cdr:x>0.93994</cdr:x>
      <cdr:y>0.25174</cdr:y>
    </cdr:to>
    <cdr:sp macro="" textlink="">
      <cdr:nvSpPr>
        <cdr:cNvPr id="2" name="Tekstvak 1">
          <a:extLst xmlns:a="http://schemas.openxmlformats.org/drawingml/2006/main">
            <a:ext uri="{FF2B5EF4-FFF2-40B4-BE49-F238E27FC236}">
              <a16:creationId xmlns:a16="http://schemas.microsoft.com/office/drawing/2014/main" id="{6E9C3D06-DF3D-4024-B10D-A1228AD627B7}"/>
            </a:ext>
          </a:extLst>
        </cdr:cNvPr>
        <cdr:cNvSpPr txBox="1"/>
      </cdr:nvSpPr>
      <cdr:spPr>
        <a:xfrm xmlns:a="http://schemas.openxmlformats.org/drawingml/2006/main">
          <a:off x="3870381" y="481013"/>
          <a:ext cx="601607"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100"/>
            <a:t>16600</a:t>
          </a:r>
        </a:p>
        <a:p xmlns:a="http://schemas.openxmlformats.org/drawingml/2006/main">
          <a:endParaRPr lang="nl-NL" sz="1100"/>
        </a:p>
      </cdr:txBody>
    </cdr:sp>
  </cdr:relSizeAnchor>
  <cdr:relSizeAnchor xmlns:cdr="http://schemas.openxmlformats.org/drawingml/2006/chartDrawing">
    <cdr:from>
      <cdr:x>0.80781</cdr:x>
      <cdr:y>0.66493</cdr:y>
    </cdr:from>
    <cdr:to>
      <cdr:x>1</cdr:x>
      <cdr:y>0.76215</cdr:y>
    </cdr:to>
    <cdr:sp macro="" textlink="">
      <cdr:nvSpPr>
        <cdr:cNvPr id="3" name="Tekstvak 2">
          <a:extLst xmlns:a="http://schemas.openxmlformats.org/drawingml/2006/main">
            <a:ext uri="{FF2B5EF4-FFF2-40B4-BE49-F238E27FC236}">
              <a16:creationId xmlns:a16="http://schemas.microsoft.com/office/drawing/2014/main" id="{41AF7E91-4171-454B-98CD-C923A8EE8121}"/>
            </a:ext>
          </a:extLst>
        </cdr:cNvPr>
        <cdr:cNvSpPr txBox="1"/>
      </cdr:nvSpPr>
      <cdr:spPr>
        <a:xfrm xmlns:a="http://schemas.openxmlformats.org/drawingml/2006/main">
          <a:off x="3843338" y="1824037"/>
          <a:ext cx="914400" cy="2667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l-NL" sz="1100"/>
            <a:t>44600</a:t>
          </a:r>
        </a:p>
      </cdr:txBody>
    </cdr:sp>
  </cdr:relSizeAnchor>
  <cdr:relSizeAnchor xmlns:cdr="http://schemas.openxmlformats.org/drawingml/2006/chartDrawing">
    <cdr:from>
      <cdr:x>0.03904</cdr:x>
      <cdr:y>0.01215</cdr:y>
    </cdr:from>
    <cdr:to>
      <cdr:x>0.23123</cdr:x>
      <cdr:y>0.34549</cdr:y>
    </cdr:to>
    <cdr:sp macro="" textlink="">
      <cdr:nvSpPr>
        <cdr:cNvPr id="4" name="Tekstvak 3">
          <a:extLst xmlns:a="http://schemas.openxmlformats.org/drawingml/2006/main">
            <a:ext uri="{FF2B5EF4-FFF2-40B4-BE49-F238E27FC236}">
              <a16:creationId xmlns:a16="http://schemas.microsoft.com/office/drawing/2014/main" id="{3F353D6F-6CC0-41D9-B5E1-616DE7510AB5}"/>
            </a:ext>
          </a:extLst>
        </cdr:cNvPr>
        <cdr:cNvSpPr txBox="1"/>
      </cdr:nvSpPr>
      <cdr:spPr>
        <a:xfrm xmlns:a="http://schemas.openxmlformats.org/drawingml/2006/main">
          <a:off x="185738" y="3333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nl-NL" sz="1100"/>
        </a:p>
      </cdr:txBody>
    </cdr:sp>
  </cdr:relSizeAnchor>
</c:userShapes>
</file>

<file path=xl/drawings/drawing2.xml><?xml version="1.0" encoding="utf-8"?>
<xdr:wsDr xmlns:xdr="http://schemas.openxmlformats.org/drawingml/2006/spreadsheetDrawing" xmlns:a="http://schemas.openxmlformats.org/drawingml/2006/main">
  <xdr:twoCellAnchor>
    <xdr:from>
      <xdr:col>13</xdr:col>
      <xdr:colOff>609599</xdr:colOff>
      <xdr:row>17</xdr:row>
      <xdr:rowOff>178593</xdr:rowOff>
    </xdr:from>
    <xdr:to>
      <xdr:col>19</xdr:col>
      <xdr:colOff>511969</xdr:colOff>
      <xdr:row>35</xdr:row>
      <xdr:rowOff>0</xdr:rowOff>
    </xdr:to>
    <xdr:graphicFrame macro="">
      <xdr:nvGraphicFramePr>
        <xdr:cNvPr id="2" name="Grafiek 1">
          <a:extLst>
            <a:ext uri="{FF2B5EF4-FFF2-40B4-BE49-F238E27FC236}">
              <a16:creationId xmlns:a16="http://schemas.microsoft.com/office/drawing/2014/main" id="{086DF9F3-0FFD-45C5-B916-57B224A29C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531233</xdr:colOff>
      <xdr:row>90</xdr:row>
      <xdr:rowOff>125989</xdr:rowOff>
    </xdr:from>
    <xdr:to>
      <xdr:col>20</xdr:col>
      <xdr:colOff>18183</xdr:colOff>
      <xdr:row>116</xdr:row>
      <xdr:rowOff>23812</xdr:rowOff>
    </xdr:to>
    <xdr:graphicFrame macro="">
      <xdr:nvGraphicFramePr>
        <xdr:cNvPr id="6" name="Grafiek 5">
          <a:extLst>
            <a:ext uri="{FF2B5EF4-FFF2-40B4-BE49-F238E27FC236}">
              <a16:creationId xmlns:a16="http://schemas.microsoft.com/office/drawing/2014/main" id="{D6F52462-6FAE-449D-89D9-9AECAB5157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400050</xdr:colOff>
      <xdr:row>0</xdr:row>
      <xdr:rowOff>80962</xdr:rowOff>
    </xdr:from>
    <xdr:to>
      <xdr:col>12</xdr:col>
      <xdr:colOff>1581150</xdr:colOff>
      <xdr:row>12</xdr:row>
      <xdr:rowOff>80962</xdr:rowOff>
    </xdr:to>
    <xdr:graphicFrame macro="">
      <xdr:nvGraphicFramePr>
        <xdr:cNvPr id="4" name="Grafiek 3">
          <a:extLst>
            <a:ext uri="{FF2B5EF4-FFF2-40B4-BE49-F238E27FC236}">
              <a16:creationId xmlns:a16="http://schemas.microsoft.com/office/drawing/2014/main" id="{5EE74EF1-1A3C-4EE1-9DF1-D5DB1C1950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110</xdr:row>
      <xdr:rowOff>142875</xdr:rowOff>
    </xdr:from>
    <xdr:to>
      <xdr:col>17</xdr:col>
      <xdr:colOff>171450</xdr:colOff>
      <xdr:row>127</xdr:row>
      <xdr:rowOff>142875</xdr:rowOff>
    </xdr:to>
    <xdr:graphicFrame macro="">
      <xdr:nvGraphicFramePr>
        <xdr:cNvPr id="2" name="Grafiek 1">
          <a:extLst>
            <a:ext uri="{FF2B5EF4-FFF2-40B4-BE49-F238E27FC236}">
              <a16:creationId xmlns:a16="http://schemas.microsoft.com/office/drawing/2014/main" id="{FCC20263-0CF7-474E-8FC2-E1CAEADC4B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2</xdr:row>
      <xdr:rowOff>0</xdr:rowOff>
    </xdr:from>
    <xdr:to>
      <xdr:col>18</xdr:col>
      <xdr:colOff>104775</xdr:colOff>
      <xdr:row>17</xdr:row>
      <xdr:rowOff>97366</xdr:rowOff>
    </xdr:to>
    <xdr:graphicFrame macro="">
      <xdr:nvGraphicFramePr>
        <xdr:cNvPr id="12" name="Grafiek 11">
          <a:extLst>
            <a:ext uri="{FF2B5EF4-FFF2-40B4-BE49-F238E27FC236}">
              <a16:creationId xmlns:a16="http://schemas.microsoft.com/office/drawing/2014/main" id="{5BC98B82-797B-4E4C-BE3A-A5EA19A6D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102</xdr:row>
      <xdr:rowOff>0</xdr:rowOff>
    </xdr:from>
    <xdr:to>
      <xdr:col>15</xdr:col>
      <xdr:colOff>285750</xdr:colOff>
      <xdr:row>116</xdr:row>
      <xdr:rowOff>76200</xdr:rowOff>
    </xdr:to>
    <xdr:graphicFrame macro="">
      <xdr:nvGraphicFramePr>
        <xdr:cNvPr id="7" name="Grafiek 6">
          <a:extLst>
            <a:ext uri="{FF2B5EF4-FFF2-40B4-BE49-F238E27FC236}">
              <a16:creationId xmlns:a16="http://schemas.microsoft.com/office/drawing/2014/main" id="{786E12B8-8DF0-4B7F-8125-D7177298C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581026</xdr:colOff>
      <xdr:row>0</xdr:row>
      <xdr:rowOff>109538</xdr:rowOff>
    </xdr:from>
    <xdr:to>
      <xdr:col>9</xdr:col>
      <xdr:colOff>28576</xdr:colOff>
      <xdr:row>4</xdr:row>
      <xdr:rowOff>200026</xdr:rowOff>
    </xdr:to>
    <xdr:graphicFrame macro="">
      <xdr:nvGraphicFramePr>
        <xdr:cNvPr id="2" name="Grafiek 1">
          <a:extLst>
            <a:ext uri="{FF2B5EF4-FFF2-40B4-BE49-F238E27FC236}">
              <a16:creationId xmlns:a16="http://schemas.microsoft.com/office/drawing/2014/main" id="{7109DB17-E7E6-4D6E-8255-B73017BAD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110</xdr:row>
      <xdr:rowOff>142875</xdr:rowOff>
    </xdr:from>
    <xdr:to>
      <xdr:col>17</xdr:col>
      <xdr:colOff>171450</xdr:colOff>
      <xdr:row>127</xdr:row>
      <xdr:rowOff>142875</xdr:rowOff>
    </xdr:to>
    <xdr:graphicFrame macro="">
      <xdr:nvGraphicFramePr>
        <xdr:cNvPr id="3" name="Grafiek 2">
          <a:extLst>
            <a:ext uri="{FF2B5EF4-FFF2-40B4-BE49-F238E27FC236}">
              <a16:creationId xmlns:a16="http://schemas.microsoft.com/office/drawing/2014/main" id="{F2B00876-66E9-4EFD-A37E-8F4750C6F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15</xdr:row>
      <xdr:rowOff>0</xdr:rowOff>
    </xdr:from>
    <xdr:to>
      <xdr:col>13</xdr:col>
      <xdr:colOff>190500</xdr:colOff>
      <xdr:row>32</xdr:row>
      <xdr:rowOff>0</xdr:rowOff>
    </xdr:to>
    <xdr:graphicFrame macro="">
      <xdr:nvGraphicFramePr>
        <xdr:cNvPr id="13" name="Grafiek 12">
          <a:extLst>
            <a:ext uri="{FF2B5EF4-FFF2-40B4-BE49-F238E27FC236}">
              <a16:creationId xmlns:a16="http://schemas.microsoft.com/office/drawing/2014/main" id="{45C01DC6-D4B9-4E02-8A8B-2F0C8000E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130</xdr:row>
      <xdr:rowOff>0</xdr:rowOff>
    </xdr:from>
    <xdr:to>
      <xdr:col>20</xdr:col>
      <xdr:colOff>352425</xdr:colOff>
      <xdr:row>146</xdr:row>
      <xdr:rowOff>183091</xdr:rowOff>
    </xdr:to>
    <xdr:graphicFrame macro="">
      <xdr:nvGraphicFramePr>
        <xdr:cNvPr id="16" name="Grafiek 15">
          <a:extLst>
            <a:ext uri="{FF2B5EF4-FFF2-40B4-BE49-F238E27FC236}">
              <a16:creationId xmlns:a16="http://schemas.microsoft.com/office/drawing/2014/main" id="{43B4DE1A-109D-4AD7-8B68-44D68CDFF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1</xdr:row>
      <xdr:rowOff>0</xdr:rowOff>
    </xdr:from>
    <xdr:to>
      <xdr:col>14</xdr:col>
      <xdr:colOff>542925</xdr:colOff>
      <xdr:row>13</xdr:row>
      <xdr:rowOff>76200</xdr:rowOff>
    </xdr:to>
    <xdr:graphicFrame macro="">
      <xdr:nvGraphicFramePr>
        <xdr:cNvPr id="11" name="Grafiek 10">
          <a:extLst>
            <a:ext uri="{FF2B5EF4-FFF2-40B4-BE49-F238E27FC236}">
              <a16:creationId xmlns:a16="http://schemas.microsoft.com/office/drawing/2014/main" id="{AB8D06AD-1FF8-4D01-8A14-967CA4CD8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600075</xdr:colOff>
      <xdr:row>0</xdr:row>
      <xdr:rowOff>61912</xdr:rowOff>
    </xdr:from>
    <xdr:to>
      <xdr:col>7</xdr:col>
      <xdr:colOff>561975</xdr:colOff>
      <xdr:row>4</xdr:row>
      <xdr:rowOff>238125</xdr:rowOff>
    </xdr:to>
    <xdr:graphicFrame macro="">
      <xdr:nvGraphicFramePr>
        <xdr:cNvPr id="2" name="Grafiek 1">
          <a:extLst>
            <a:ext uri="{FF2B5EF4-FFF2-40B4-BE49-F238E27FC236}">
              <a16:creationId xmlns:a16="http://schemas.microsoft.com/office/drawing/2014/main" id="{159ED50F-A168-43F8-A8B4-C74470CAC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110</xdr:row>
      <xdr:rowOff>142875</xdr:rowOff>
    </xdr:from>
    <xdr:to>
      <xdr:col>17</xdr:col>
      <xdr:colOff>171450</xdr:colOff>
      <xdr:row>127</xdr:row>
      <xdr:rowOff>142875</xdr:rowOff>
    </xdr:to>
    <xdr:graphicFrame macro="">
      <xdr:nvGraphicFramePr>
        <xdr:cNvPr id="3" name="Grafiek 2">
          <a:extLst>
            <a:ext uri="{FF2B5EF4-FFF2-40B4-BE49-F238E27FC236}">
              <a16:creationId xmlns:a16="http://schemas.microsoft.com/office/drawing/2014/main" id="{A7FE601C-8A4B-417D-8E8F-F8014C9BA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130</xdr:row>
      <xdr:rowOff>0</xdr:rowOff>
    </xdr:from>
    <xdr:to>
      <xdr:col>20</xdr:col>
      <xdr:colOff>352425</xdr:colOff>
      <xdr:row>146</xdr:row>
      <xdr:rowOff>183091</xdr:rowOff>
    </xdr:to>
    <xdr:graphicFrame macro="">
      <xdr:nvGraphicFramePr>
        <xdr:cNvPr id="5" name="Grafiek 4">
          <a:extLst>
            <a:ext uri="{FF2B5EF4-FFF2-40B4-BE49-F238E27FC236}">
              <a16:creationId xmlns:a16="http://schemas.microsoft.com/office/drawing/2014/main" id="{664E9DDE-ACE4-477A-89FB-1B5512826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15</xdr:row>
      <xdr:rowOff>0</xdr:rowOff>
    </xdr:from>
    <xdr:to>
      <xdr:col>13</xdr:col>
      <xdr:colOff>190500</xdr:colOff>
      <xdr:row>32</xdr:row>
      <xdr:rowOff>0</xdr:rowOff>
    </xdr:to>
    <xdr:graphicFrame macro="">
      <xdr:nvGraphicFramePr>
        <xdr:cNvPr id="12" name="Grafiek 11">
          <a:extLst>
            <a:ext uri="{FF2B5EF4-FFF2-40B4-BE49-F238E27FC236}">
              <a16:creationId xmlns:a16="http://schemas.microsoft.com/office/drawing/2014/main" id="{9811EFD1-DE25-4B00-A487-4B6F20340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333375</xdr:colOff>
      <xdr:row>98</xdr:row>
      <xdr:rowOff>95250</xdr:rowOff>
    </xdr:from>
    <xdr:to>
      <xdr:col>16</xdr:col>
      <xdr:colOff>9525</xdr:colOff>
      <xdr:row>112</xdr:row>
      <xdr:rowOff>171450</xdr:rowOff>
    </xdr:to>
    <xdr:graphicFrame macro="">
      <xdr:nvGraphicFramePr>
        <xdr:cNvPr id="7" name="Grafiek 6">
          <a:extLst>
            <a:ext uri="{FF2B5EF4-FFF2-40B4-BE49-F238E27FC236}">
              <a16:creationId xmlns:a16="http://schemas.microsoft.com/office/drawing/2014/main" id="{EB3E2CDB-0109-45C2-8CBF-F9C3105B8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504825</xdr:colOff>
      <xdr:row>0</xdr:row>
      <xdr:rowOff>33337</xdr:rowOff>
    </xdr:from>
    <xdr:to>
      <xdr:col>8</xdr:col>
      <xdr:colOff>219075</xdr:colOff>
      <xdr:row>4</xdr:row>
      <xdr:rowOff>219075</xdr:rowOff>
    </xdr:to>
    <xdr:graphicFrame macro="">
      <xdr:nvGraphicFramePr>
        <xdr:cNvPr id="2" name="Grafiek 1">
          <a:extLst>
            <a:ext uri="{FF2B5EF4-FFF2-40B4-BE49-F238E27FC236}">
              <a16:creationId xmlns:a16="http://schemas.microsoft.com/office/drawing/2014/main" id="{2069BD7D-FEE5-4E95-8423-DBD1C800C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110</xdr:row>
      <xdr:rowOff>142875</xdr:rowOff>
    </xdr:from>
    <xdr:to>
      <xdr:col>17</xdr:col>
      <xdr:colOff>171450</xdr:colOff>
      <xdr:row>127</xdr:row>
      <xdr:rowOff>142875</xdr:rowOff>
    </xdr:to>
    <xdr:graphicFrame macro="">
      <xdr:nvGraphicFramePr>
        <xdr:cNvPr id="3" name="Grafiek 2">
          <a:extLst>
            <a:ext uri="{FF2B5EF4-FFF2-40B4-BE49-F238E27FC236}">
              <a16:creationId xmlns:a16="http://schemas.microsoft.com/office/drawing/2014/main" id="{461D9083-7A1E-4919-894A-2B9CE84A0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15</xdr:row>
      <xdr:rowOff>0</xdr:rowOff>
    </xdr:from>
    <xdr:to>
      <xdr:col>13</xdr:col>
      <xdr:colOff>190500</xdr:colOff>
      <xdr:row>32</xdr:row>
      <xdr:rowOff>0</xdr:rowOff>
    </xdr:to>
    <xdr:graphicFrame macro="">
      <xdr:nvGraphicFramePr>
        <xdr:cNvPr id="4" name="Grafiek 3">
          <a:extLst>
            <a:ext uri="{FF2B5EF4-FFF2-40B4-BE49-F238E27FC236}">
              <a16:creationId xmlns:a16="http://schemas.microsoft.com/office/drawing/2014/main" id="{D4822EE5-5660-4DDF-8982-7AE261FD1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130</xdr:row>
      <xdr:rowOff>0</xdr:rowOff>
    </xdr:from>
    <xdr:to>
      <xdr:col>20</xdr:col>
      <xdr:colOff>352425</xdr:colOff>
      <xdr:row>146</xdr:row>
      <xdr:rowOff>183091</xdr:rowOff>
    </xdr:to>
    <xdr:graphicFrame macro="">
      <xdr:nvGraphicFramePr>
        <xdr:cNvPr id="5" name="Grafiek 4">
          <a:extLst>
            <a:ext uri="{FF2B5EF4-FFF2-40B4-BE49-F238E27FC236}">
              <a16:creationId xmlns:a16="http://schemas.microsoft.com/office/drawing/2014/main" id="{3F88365F-141D-4AEC-ADB4-6524C9F10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590550</xdr:colOff>
      <xdr:row>99</xdr:row>
      <xdr:rowOff>38100</xdr:rowOff>
    </xdr:from>
    <xdr:to>
      <xdr:col>15</xdr:col>
      <xdr:colOff>266700</xdr:colOff>
      <xdr:row>113</xdr:row>
      <xdr:rowOff>114300</xdr:rowOff>
    </xdr:to>
    <xdr:graphicFrame macro="">
      <xdr:nvGraphicFramePr>
        <xdr:cNvPr id="7" name="Grafiek 6">
          <a:extLst>
            <a:ext uri="{FF2B5EF4-FFF2-40B4-BE49-F238E27FC236}">
              <a16:creationId xmlns:a16="http://schemas.microsoft.com/office/drawing/2014/main" id="{E1B22FA8-A73B-47E6-BF61-32D715AD9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460374</xdr:colOff>
      <xdr:row>145</xdr:row>
      <xdr:rowOff>95249</xdr:rowOff>
    </xdr:from>
    <xdr:to>
      <xdr:col>27</xdr:col>
      <xdr:colOff>121706</xdr:colOff>
      <xdr:row>168</xdr:row>
      <xdr:rowOff>112183</xdr:rowOff>
    </xdr:to>
    <xdr:graphicFrame macro="">
      <xdr:nvGraphicFramePr>
        <xdr:cNvPr id="2" name="Grafiek 1">
          <a:extLst>
            <a:ext uri="{FF2B5EF4-FFF2-40B4-BE49-F238E27FC236}">
              <a16:creationId xmlns:a16="http://schemas.microsoft.com/office/drawing/2014/main" id="{8D0CAC42-15F2-4C5A-AF02-5DED7B3946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312207</xdr:colOff>
      <xdr:row>147</xdr:row>
      <xdr:rowOff>31752</xdr:rowOff>
    </xdr:from>
    <xdr:to>
      <xdr:col>19</xdr:col>
      <xdr:colOff>587374</xdr:colOff>
      <xdr:row>164</xdr:row>
      <xdr:rowOff>52918</xdr:rowOff>
    </xdr:to>
    <xdr:graphicFrame macro="">
      <xdr:nvGraphicFramePr>
        <xdr:cNvPr id="5" name="Grafiek 4">
          <a:extLst>
            <a:ext uri="{FF2B5EF4-FFF2-40B4-BE49-F238E27FC236}">
              <a16:creationId xmlns:a16="http://schemas.microsoft.com/office/drawing/2014/main" id="{1C78E2C8-67EC-4B3F-B803-46AB030F10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275167</xdr:colOff>
      <xdr:row>161</xdr:row>
      <xdr:rowOff>120650</xdr:rowOff>
    </xdr:from>
    <xdr:to>
      <xdr:col>10</xdr:col>
      <xdr:colOff>476250</xdr:colOff>
      <xdr:row>177</xdr:row>
      <xdr:rowOff>74084</xdr:rowOff>
    </xdr:to>
    <xdr:graphicFrame macro="">
      <xdr:nvGraphicFramePr>
        <xdr:cNvPr id="4" name="Grafiek 3">
          <a:extLst>
            <a:ext uri="{FF2B5EF4-FFF2-40B4-BE49-F238E27FC236}">
              <a16:creationId xmlns:a16="http://schemas.microsoft.com/office/drawing/2014/main" id="{9BCB9E5E-35BA-4F64-9078-42229EA38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28</xdr:row>
      <xdr:rowOff>0</xdr:rowOff>
    </xdr:from>
    <xdr:to>
      <xdr:col>9</xdr:col>
      <xdr:colOff>276225</xdr:colOff>
      <xdr:row>45</xdr:row>
      <xdr:rowOff>21166</xdr:rowOff>
    </xdr:to>
    <xdr:graphicFrame macro="">
      <xdr:nvGraphicFramePr>
        <xdr:cNvPr id="32" name="Grafiek 31">
          <a:extLst>
            <a:ext uri="{FF2B5EF4-FFF2-40B4-BE49-F238E27FC236}">
              <a16:creationId xmlns:a16="http://schemas.microsoft.com/office/drawing/2014/main" id="{EC6EE8A1-014B-4424-8FE9-D9D1B2076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50</xdr:row>
      <xdr:rowOff>0</xdr:rowOff>
    </xdr:from>
    <xdr:to>
      <xdr:col>9</xdr:col>
      <xdr:colOff>276225</xdr:colOff>
      <xdr:row>67</xdr:row>
      <xdr:rowOff>0</xdr:rowOff>
    </xdr:to>
    <xdr:graphicFrame macro="">
      <xdr:nvGraphicFramePr>
        <xdr:cNvPr id="34" name="Grafiek 33">
          <a:extLst>
            <a:ext uri="{FF2B5EF4-FFF2-40B4-BE49-F238E27FC236}">
              <a16:creationId xmlns:a16="http://schemas.microsoft.com/office/drawing/2014/main" id="{D6EC66ED-C197-4FAC-9EA6-AEC95F29A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157162</xdr:colOff>
      <xdr:row>60</xdr:row>
      <xdr:rowOff>28575</xdr:rowOff>
    </xdr:from>
    <xdr:to>
      <xdr:col>19</xdr:col>
      <xdr:colOff>461962</xdr:colOff>
      <xdr:row>76</xdr:row>
      <xdr:rowOff>147637</xdr:rowOff>
    </xdr:to>
    <xdr:graphicFrame macro="">
      <xdr:nvGraphicFramePr>
        <xdr:cNvPr id="3" name="Grafiek 2">
          <a:extLst>
            <a:ext uri="{FF2B5EF4-FFF2-40B4-BE49-F238E27FC236}">
              <a16:creationId xmlns:a16="http://schemas.microsoft.com/office/drawing/2014/main" id="{B1F958BA-DF14-4603-9568-1C2179130F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528637</xdr:colOff>
      <xdr:row>3</xdr:row>
      <xdr:rowOff>66675</xdr:rowOff>
    </xdr:from>
    <xdr:to>
      <xdr:col>24</xdr:col>
      <xdr:colOff>19050</xdr:colOff>
      <xdr:row>25</xdr:row>
      <xdr:rowOff>133350</xdr:rowOff>
    </xdr:to>
    <xdr:grpSp>
      <xdr:nvGrpSpPr>
        <xdr:cNvPr id="4" name="Groep 3">
          <a:extLst>
            <a:ext uri="{FF2B5EF4-FFF2-40B4-BE49-F238E27FC236}">
              <a16:creationId xmlns:a16="http://schemas.microsoft.com/office/drawing/2014/main" id="{613C1BD5-570A-4D2B-A962-582843BFAC5D}"/>
            </a:ext>
          </a:extLst>
        </xdr:cNvPr>
        <xdr:cNvGrpSpPr/>
      </xdr:nvGrpSpPr>
      <xdr:grpSpPr>
        <a:xfrm>
          <a:off x="9834915" y="701675"/>
          <a:ext cx="6164968" cy="4102453"/>
          <a:chOff x="8710612" y="1228725"/>
          <a:chExt cx="6196013" cy="4181475"/>
        </a:xfrm>
      </xdr:grpSpPr>
      <xdr:graphicFrame macro="">
        <xdr:nvGraphicFramePr>
          <xdr:cNvPr id="5" name="Grafiek 4">
            <a:extLst>
              <a:ext uri="{FF2B5EF4-FFF2-40B4-BE49-F238E27FC236}">
                <a16:creationId xmlns:a16="http://schemas.microsoft.com/office/drawing/2014/main" id="{86205B5E-D1FB-45C0-95FB-39B512A954C2}"/>
              </a:ext>
            </a:extLst>
          </xdr:cNvPr>
          <xdr:cNvGraphicFramePr/>
        </xdr:nvGraphicFramePr>
        <xdr:xfrm>
          <a:off x="8710612" y="1228725"/>
          <a:ext cx="6196013" cy="418147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7" name="Tekstvak 6">
            <a:extLst>
              <a:ext uri="{FF2B5EF4-FFF2-40B4-BE49-F238E27FC236}">
                <a16:creationId xmlns:a16="http://schemas.microsoft.com/office/drawing/2014/main" id="{C34FFA3D-0047-4E61-BA6C-B4CB16E87C68}"/>
              </a:ext>
            </a:extLst>
          </xdr:cNvPr>
          <xdr:cNvSpPr txBox="1"/>
        </xdr:nvSpPr>
        <xdr:spPr>
          <a:xfrm>
            <a:off x="9629775" y="200977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0%</a:t>
            </a:r>
          </a:p>
        </xdr:txBody>
      </xdr:sp>
      <xdr:sp macro="" textlink="">
        <xdr:nvSpPr>
          <xdr:cNvPr id="11" name="Tekstvak 10">
            <a:extLst>
              <a:ext uri="{FF2B5EF4-FFF2-40B4-BE49-F238E27FC236}">
                <a16:creationId xmlns:a16="http://schemas.microsoft.com/office/drawing/2014/main" id="{8513E068-9FF2-4901-BFB4-08A959B49F70}"/>
              </a:ext>
            </a:extLst>
          </xdr:cNvPr>
          <xdr:cNvSpPr txBox="1"/>
        </xdr:nvSpPr>
        <xdr:spPr>
          <a:xfrm>
            <a:off x="9582150" y="301942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0%</a:t>
            </a:r>
          </a:p>
        </xdr:txBody>
      </xdr:sp>
      <xdr:sp macro="" textlink="">
        <xdr:nvSpPr>
          <xdr:cNvPr id="15" name="Tekstvak 14">
            <a:extLst>
              <a:ext uri="{FF2B5EF4-FFF2-40B4-BE49-F238E27FC236}">
                <a16:creationId xmlns:a16="http://schemas.microsoft.com/office/drawing/2014/main" id="{3CC68CCE-7D05-4F54-8123-41A82D66F94B}"/>
              </a:ext>
            </a:extLst>
          </xdr:cNvPr>
          <xdr:cNvSpPr txBox="1"/>
        </xdr:nvSpPr>
        <xdr:spPr>
          <a:xfrm>
            <a:off x="10077450" y="2009775"/>
            <a:ext cx="4381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31%</a:t>
            </a:r>
          </a:p>
        </xdr:txBody>
      </xdr:sp>
      <xdr:sp macro="" textlink="">
        <xdr:nvSpPr>
          <xdr:cNvPr id="16" name="Tekstvak 15">
            <a:extLst>
              <a:ext uri="{FF2B5EF4-FFF2-40B4-BE49-F238E27FC236}">
                <a16:creationId xmlns:a16="http://schemas.microsoft.com/office/drawing/2014/main" id="{7E6B0C2F-4ABA-4A5B-9A83-B41F7BEBE20D}"/>
              </a:ext>
            </a:extLst>
          </xdr:cNvPr>
          <xdr:cNvSpPr txBox="1"/>
        </xdr:nvSpPr>
        <xdr:spPr>
          <a:xfrm>
            <a:off x="10191750" y="4029075"/>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36</a:t>
            </a:r>
          </a:p>
          <a:p>
            <a:r>
              <a:rPr lang="nl-NL" sz="1100">
                <a:solidFill>
                  <a:schemeClr val="tx1"/>
                </a:solidFill>
              </a:rPr>
              <a:t>%</a:t>
            </a:r>
          </a:p>
        </xdr:txBody>
      </xdr:sp>
      <xdr:sp macro="" textlink="">
        <xdr:nvSpPr>
          <xdr:cNvPr id="18" name="Tekstvak 17">
            <a:extLst>
              <a:ext uri="{FF2B5EF4-FFF2-40B4-BE49-F238E27FC236}">
                <a16:creationId xmlns:a16="http://schemas.microsoft.com/office/drawing/2014/main" id="{0337CEF7-5F76-416B-9C6A-E1F2928B2824}"/>
              </a:ext>
            </a:extLst>
          </xdr:cNvPr>
          <xdr:cNvSpPr txBox="1"/>
        </xdr:nvSpPr>
        <xdr:spPr>
          <a:xfrm>
            <a:off x="10487025" y="3019425"/>
            <a:ext cx="4953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31%</a:t>
            </a:r>
          </a:p>
        </xdr:txBody>
      </xdr:sp>
      <xdr:sp macro="" textlink="">
        <xdr:nvSpPr>
          <xdr:cNvPr id="19" name="Tekstvak 18">
            <a:extLst>
              <a:ext uri="{FF2B5EF4-FFF2-40B4-BE49-F238E27FC236}">
                <a16:creationId xmlns:a16="http://schemas.microsoft.com/office/drawing/2014/main" id="{A989DF1F-7CB6-4B08-8929-9FEB4BABEE22}"/>
              </a:ext>
            </a:extLst>
          </xdr:cNvPr>
          <xdr:cNvSpPr txBox="1"/>
        </xdr:nvSpPr>
        <xdr:spPr>
          <a:xfrm>
            <a:off x="10601325" y="2009775"/>
            <a:ext cx="447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52%</a:t>
            </a:r>
          </a:p>
        </xdr:txBody>
      </xdr:sp>
      <xdr:sp macro="" textlink="">
        <xdr:nvSpPr>
          <xdr:cNvPr id="20" name="Tekstvak 19">
            <a:extLst>
              <a:ext uri="{FF2B5EF4-FFF2-40B4-BE49-F238E27FC236}">
                <a16:creationId xmlns:a16="http://schemas.microsoft.com/office/drawing/2014/main" id="{68205061-06F3-4E00-A686-1708E7244254}"/>
              </a:ext>
            </a:extLst>
          </xdr:cNvPr>
          <xdr:cNvSpPr txBox="1"/>
        </xdr:nvSpPr>
        <xdr:spPr>
          <a:xfrm>
            <a:off x="11380453" y="3007719"/>
            <a:ext cx="4762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38%</a:t>
            </a:r>
          </a:p>
        </xdr:txBody>
      </xdr:sp>
      <xdr:sp macro="" textlink="">
        <xdr:nvSpPr>
          <xdr:cNvPr id="21" name="Tekstvak 20">
            <a:extLst>
              <a:ext uri="{FF2B5EF4-FFF2-40B4-BE49-F238E27FC236}">
                <a16:creationId xmlns:a16="http://schemas.microsoft.com/office/drawing/2014/main" id="{1F36E7FC-640F-42D2-A4C8-0D55F396D84B}"/>
              </a:ext>
            </a:extLst>
          </xdr:cNvPr>
          <xdr:cNvSpPr txBox="1"/>
        </xdr:nvSpPr>
        <xdr:spPr>
          <a:xfrm>
            <a:off x="10782300" y="4029075"/>
            <a:ext cx="4476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40%</a:t>
            </a:r>
          </a:p>
        </xdr:txBody>
      </xdr:sp>
      <xdr:sp macro="" textlink="">
        <xdr:nvSpPr>
          <xdr:cNvPr id="22" name="Tekstvak 21">
            <a:extLst>
              <a:ext uri="{FF2B5EF4-FFF2-40B4-BE49-F238E27FC236}">
                <a16:creationId xmlns:a16="http://schemas.microsoft.com/office/drawing/2014/main" id="{3A2E514F-C9A5-4D95-9754-69307FC69CA8}"/>
              </a:ext>
            </a:extLst>
          </xdr:cNvPr>
          <xdr:cNvSpPr txBox="1"/>
        </xdr:nvSpPr>
        <xdr:spPr>
          <a:xfrm>
            <a:off x="11763375" y="2009775"/>
            <a:ext cx="4381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70%</a:t>
            </a:r>
          </a:p>
        </xdr:txBody>
      </xdr:sp>
      <xdr:sp macro="" textlink="">
        <xdr:nvSpPr>
          <xdr:cNvPr id="23" name="Tekstvak 22">
            <a:extLst>
              <a:ext uri="{FF2B5EF4-FFF2-40B4-BE49-F238E27FC236}">
                <a16:creationId xmlns:a16="http://schemas.microsoft.com/office/drawing/2014/main" id="{ED05B01F-B5BA-45F0-BC5D-1AA40340CF72}"/>
              </a:ext>
            </a:extLst>
          </xdr:cNvPr>
          <xdr:cNvSpPr txBox="1"/>
        </xdr:nvSpPr>
        <xdr:spPr>
          <a:xfrm>
            <a:off x="12354629" y="2996014"/>
            <a:ext cx="4857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50%</a:t>
            </a:r>
          </a:p>
        </xdr:txBody>
      </xdr:sp>
      <xdr:sp macro="" textlink="">
        <xdr:nvSpPr>
          <xdr:cNvPr id="24" name="Tekstvak 23">
            <a:extLst>
              <a:ext uri="{FF2B5EF4-FFF2-40B4-BE49-F238E27FC236}">
                <a16:creationId xmlns:a16="http://schemas.microsoft.com/office/drawing/2014/main" id="{F1F8AD05-2E14-419E-8CAE-2654CE887F42}"/>
              </a:ext>
            </a:extLst>
          </xdr:cNvPr>
          <xdr:cNvSpPr txBox="1"/>
        </xdr:nvSpPr>
        <xdr:spPr>
          <a:xfrm>
            <a:off x="11763375" y="4029075"/>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50%</a:t>
            </a:r>
          </a:p>
        </xdr:txBody>
      </xdr:sp>
      <xdr:sp macro="" textlink="">
        <xdr:nvSpPr>
          <xdr:cNvPr id="25" name="Tekstvak 24">
            <a:extLst>
              <a:ext uri="{FF2B5EF4-FFF2-40B4-BE49-F238E27FC236}">
                <a16:creationId xmlns:a16="http://schemas.microsoft.com/office/drawing/2014/main" id="{F86D1D14-1B42-4A03-91F5-0DDA55CD4EE5}"/>
              </a:ext>
            </a:extLst>
          </xdr:cNvPr>
          <xdr:cNvSpPr txBox="1"/>
        </xdr:nvSpPr>
        <xdr:spPr>
          <a:xfrm>
            <a:off x="13477875" y="2009775"/>
            <a:ext cx="514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85%</a:t>
            </a:r>
          </a:p>
        </xdr:txBody>
      </xdr:sp>
      <xdr:sp macro="" textlink="">
        <xdr:nvSpPr>
          <xdr:cNvPr id="26" name="Tekstvak 25">
            <a:extLst>
              <a:ext uri="{FF2B5EF4-FFF2-40B4-BE49-F238E27FC236}">
                <a16:creationId xmlns:a16="http://schemas.microsoft.com/office/drawing/2014/main" id="{97504E0B-C93D-452E-8E9B-EAEC8C408F96}"/>
              </a:ext>
            </a:extLst>
          </xdr:cNvPr>
          <xdr:cNvSpPr txBox="1"/>
        </xdr:nvSpPr>
        <xdr:spPr>
          <a:xfrm>
            <a:off x="13477876" y="3019425"/>
            <a:ext cx="438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60%</a:t>
            </a:r>
          </a:p>
        </xdr:txBody>
      </xdr:sp>
      <xdr:sp macro="" textlink="">
        <xdr:nvSpPr>
          <xdr:cNvPr id="27" name="Tekstvak 26">
            <a:extLst>
              <a:ext uri="{FF2B5EF4-FFF2-40B4-BE49-F238E27FC236}">
                <a16:creationId xmlns:a16="http://schemas.microsoft.com/office/drawing/2014/main" id="{FC502007-9154-485B-883A-C63D339C9B2D}"/>
              </a:ext>
            </a:extLst>
          </xdr:cNvPr>
          <xdr:cNvSpPr txBox="1"/>
        </xdr:nvSpPr>
        <xdr:spPr>
          <a:xfrm>
            <a:off x="13439775" y="4029075"/>
            <a:ext cx="4381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70%</a:t>
            </a:r>
          </a:p>
        </xdr:txBody>
      </xdr:sp>
      <xdr:sp macro="" textlink="">
        <xdr:nvSpPr>
          <xdr:cNvPr id="29" name="Tekstvak 28">
            <a:extLst>
              <a:ext uri="{FF2B5EF4-FFF2-40B4-BE49-F238E27FC236}">
                <a16:creationId xmlns:a16="http://schemas.microsoft.com/office/drawing/2014/main" id="{9F130F42-C5CD-4A8C-9AE4-CE86BEB9204C}"/>
              </a:ext>
            </a:extLst>
          </xdr:cNvPr>
          <xdr:cNvSpPr txBox="1"/>
        </xdr:nvSpPr>
        <xdr:spPr>
          <a:xfrm>
            <a:off x="9601200" y="4029075"/>
            <a:ext cx="371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chemeClr val="tx1"/>
                </a:solidFill>
              </a:rPr>
              <a:t>0%</a:t>
            </a:r>
          </a:p>
        </xdr:txBody>
      </xdr:sp>
      <xdr:sp macro="" textlink="">
        <xdr:nvSpPr>
          <xdr:cNvPr id="2" name="Tekstvak 1">
            <a:extLst>
              <a:ext uri="{FF2B5EF4-FFF2-40B4-BE49-F238E27FC236}">
                <a16:creationId xmlns:a16="http://schemas.microsoft.com/office/drawing/2014/main" id="{A37EC74B-E606-42A1-92EB-7AEF184305C4}"/>
              </a:ext>
            </a:extLst>
          </xdr:cNvPr>
          <xdr:cNvSpPr txBox="1"/>
        </xdr:nvSpPr>
        <xdr:spPr>
          <a:xfrm>
            <a:off x="12563475" y="4962525"/>
            <a:ext cx="181402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400">
                <a:solidFill>
                  <a:schemeClr val="tx1"/>
                </a:solidFill>
              </a:rPr>
              <a:t>Belastbaar</a:t>
            </a:r>
            <a:r>
              <a:rPr lang="nl-NL" sz="1400"/>
              <a:t> inkomen, €</a:t>
            </a:r>
          </a:p>
        </xdr:txBody>
      </xdr:sp>
    </xdr:grpSp>
    <xdr:clientData/>
  </xdr:twoCellAnchor>
  <xdr:twoCellAnchor>
    <xdr:from>
      <xdr:col>2</xdr:col>
      <xdr:colOff>152400</xdr:colOff>
      <xdr:row>50</xdr:row>
      <xdr:rowOff>152400</xdr:rowOff>
    </xdr:from>
    <xdr:to>
      <xdr:col>9</xdr:col>
      <xdr:colOff>428625</xdr:colOff>
      <xdr:row>67</xdr:row>
      <xdr:rowOff>152400</xdr:rowOff>
    </xdr:to>
    <xdr:graphicFrame macro="">
      <xdr:nvGraphicFramePr>
        <xdr:cNvPr id="28" name="Grafiek 27">
          <a:extLst>
            <a:ext uri="{FF2B5EF4-FFF2-40B4-BE49-F238E27FC236}">
              <a16:creationId xmlns:a16="http://schemas.microsoft.com/office/drawing/2014/main" id="{7B81A499-EEC5-4D07-8EC3-663C37BDC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142875</xdr:colOff>
      <xdr:row>77</xdr:row>
      <xdr:rowOff>166686</xdr:rowOff>
    </xdr:from>
    <xdr:to>
      <xdr:col>19</xdr:col>
      <xdr:colOff>447675</xdr:colOff>
      <xdr:row>94</xdr:row>
      <xdr:rowOff>21167</xdr:rowOff>
    </xdr:to>
    <xdr:graphicFrame macro="">
      <xdr:nvGraphicFramePr>
        <xdr:cNvPr id="6" name="Grafiek 5">
          <a:extLst>
            <a:ext uri="{FF2B5EF4-FFF2-40B4-BE49-F238E27FC236}">
              <a16:creationId xmlns:a16="http://schemas.microsoft.com/office/drawing/2014/main" id="{EF00197C-F6D2-4216-B015-2976CC3E4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25</xdr:col>
      <xdr:colOff>1</xdr:colOff>
      <xdr:row>3</xdr:row>
      <xdr:rowOff>0</xdr:rowOff>
    </xdr:from>
    <xdr:to>
      <xdr:col>29</xdr:col>
      <xdr:colOff>514351</xdr:colOff>
      <xdr:row>13</xdr:row>
      <xdr:rowOff>126903</xdr:rowOff>
    </xdr:to>
    <xdr:pic>
      <xdr:nvPicPr>
        <xdr:cNvPr id="10" name="Afbeelding 9">
          <a:extLst>
            <a:ext uri="{FF2B5EF4-FFF2-40B4-BE49-F238E27FC236}">
              <a16:creationId xmlns:a16="http://schemas.microsoft.com/office/drawing/2014/main" id="{00BD50C1-D72A-4D99-A068-F709A100A15B}"/>
            </a:ext>
          </a:extLst>
        </xdr:cNvPr>
        <xdr:cNvPicPr>
          <a:picLocks noChangeAspect="1"/>
        </xdr:cNvPicPr>
      </xdr:nvPicPr>
      <xdr:blipFill>
        <a:blip xmlns:r="http://schemas.openxmlformats.org/officeDocument/2006/relationships" r:embed="rId7"/>
        <a:stretch>
          <a:fillRect/>
        </a:stretch>
      </xdr:blipFill>
      <xdr:spPr>
        <a:xfrm>
          <a:off x="16503651" y="647700"/>
          <a:ext cx="2952750" cy="2031903"/>
        </a:xfrm>
        <a:prstGeom prst="rect">
          <a:avLst/>
        </a:prstGeom>
      </xdr:spPr>
    </xdr:pic>
    <xdr:clientData/>
  </xdr:twoCellAnchor>
  <xdr:twoCellAnchor>
    <xdr:from>
      <xdr:col>13</xdr:col>
      <xdr:colOff>0</xdr:colOff>
      <xdr:row>28</xdr:row>
      <xdr:rowOff>0</xdr:rowOff>
    </xdr:from>
    <xdr:to>
      <xdr:col>20</xdr:col>
      <xdr:colOff>275166</xdr:colOff>
      <xdr:row>43</xdr:row>
      <xdr:rowOff>143934</xdr:rowOff>
    </xdr:to>
    <xdr:graphicFrame macro="">
      <xdr:nvGraphicFramePr>
        <xdr:cNvPr id="37" name="Grafiek 36">
          <a:extLst>
            <a:ext uri="{FF2B5EF4-FFF2-40B4-BE49-F238E27FC236}">
              <a16:creationId xmlns:a16="http://schemas.microsoft.com/office/drawing/2014/main" id="{6D9FA2D0-0AFC-4A8F-95EA-5BBBB5318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46</xdr:row>
      <xdr:rowOff>116416</xdr:rowOff>
    </xdr:from>
    <xdr:to>
      <xdr:col>19</xdr:col>
      <xdr:colOff>19292</xdr:colOff>
      <xdr:row>59</xdr:row>
      <xdr:rowOff>84668</xdr:rowOff>
    </xdr:to>
    <xdr:graphicFrame macro="">
      <xdr:nvGraphicFramePr>
        <xdr:cNvPr id="31" name="Grafiek 30">
          <a:extLst>
            <a:ext uri="{FF2B5EF4-FFF2-40B4-BE49-F238E27FC236}">
              <a16:creationId xmlns:a16="http://schemas.microsoft.com/office/drawing/2014/main" id="{666F21EF-01C1-475F-87D2-03342F51E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587374</xdr:colOff>
      <xdr:row>60</xdr:row>
      <xdr:rowOff>14815</xdr:rowOff>
    </xdr:from>
    <xdr:to>
      <xdr:col>27</xdr:col>
      <xdr:colOff>248707</xdr:colOff>
      <xdr:row>75</xdr:row>
      <xdr:rowOff>74083</xdr:rowOff>
    </xdr:to>
    <xdr:graphicFrame macro="">
      <xdr:nvGraphicFramePr>
        <xdr:cNvPr id="9" name="Grafiek 8">
          <a:extLst>
            <a:ext uri="{FF2B5EF4-FFF2-40B4-BE49-F238E27FC236}">
              <a16:creationId xmlns:a16="http://schemas.microsoft.com/office/drawing/2014/main" id="{9BCC853B-F585-4322-A125-CBFBBB287C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47623</xdr:colOff>
      <xdr:row>77</xdr:row>
      <xdr:rowOff>78317</xdr:rowOff>
    </xdr:from>
    <xdr:to>
      <xdr:col>27</xdr:col>
      <xdr:colOff>322790</xdr:colOff>
      <xdr:row>93</xdr:row>
      <xdr:rowOff>21167</xdr:rowOff>
    </xdr:to>
    <xdr:graphicFrame macro="">
      <xdr:nvGraphicFramePr>
        <xdr:cNvPr id="12" name="Grafiek 11">
          <a:extLst>
            <a:ext uri="{FF2B5EF4-FFF2-40B4-BE49-F238E27FC236}">
              <a16:creationId xmlns:a16="http://schemas.microsoft.com/office/drawing/2014/main" id="{26013142-6137-4556-A068-4859436B00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0.3359</cdr:x>
      <cdr:y>0.90433</cdr:y>
    </cdr:from>
    <cdr:to>
      <cdr:x>0.48347</cdr:x>
      <cdr:y>1</cdr:y>
    </cdr:to>
    <cdr:sp macro="" textlink="">
      <cdr:nvSpPr>
        <cdr:cNvPr id="2" name="Tekstvak 1">
          <a:extLst xmlns:a="http://schemas.openxmlformats.org/drawingml/2006/main">
            <a:ext uri="{FF2B5EF4-FFF2-40B4-BE49-F238E27FC236}">
              <a16:creationId xmlns:a16="http://schemas.microsoft.com/office/drawing/2014/main" id="{738D882F-BBAB-44D7-81AD-395DD1AE5BF0}"/>
            </a:ext>
          </a:extLst>
        </cdr:cNvPr>
        <cdr:cNvSpPr txBox="1"/>
      </cdr:nvSpPr>
      <cdr:spPr>
        <a:xfrm xmlns:a="http://schemas.openxmlformats.org/drawingml/2006/main">
          <a:off x="2081213" y="3781425"/>
          <a:ext cx="914400" cy="4000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nl-NL" sz="1100"/>
        </a:p>
      </cdr:txBody>
    </cdr:sp>
  </cdr:relSizeAnchor>
</c:userShape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5671-7FC3-454D-8E52-1C4711D4C479}">
  <dimension ref="A1:AA163"/>
  <sheetViews>
    <sheetView topLeftCell="A35" workbookViewId="0">
      <selection activeCell="J35" sqref="J35"/>
    </sheetView>
  </sheetViews>
  <sheetFormatPr defaultRowHeight="14.5" x14ac:dyDescent="0.35"/>
  <cols>
    <col min="1" max="1" width="38.453125" customWidth="1"/>
    <col min="2" max="2" width="16.7265625" bestFit="1" customWidth="1"/>
    <col min="3" max="3" width="9.453125" bestFit="1" customWidth="1"/>
    <col min="4" max="4" width="10.81640625" customWidth="1"/>
    <col min="7" max="7" width="9.453125" customWidth="1"/>
    <col min="12" max="12" width="14.26953125" bestFit="1" customWidth="1"/>
    <col min="13" max="13" width="24" customWidth="1"/>
    <col min="14" max="15" width="13" bestFit="1" customWidth="1"/>
    <col min="17" max="17" width="35.7265625" customWidth="1"/>
    <col min="20" max="20" width="9.26953125" bestFit="1" customWidth="1"/>
    <col min="21" max="21" width="10.1796875" bestFit="1" customWidth="1"/>
    <col min="22" max="22" width="12.26953125" bestFit="1" customWidth="1"/>
    <col min="23" max="23" width="13.453125" bestFit="1" customWidth="1"/>
  </cols>
  <sheetData>
    <row r="1" spans="1:23" ht="21" x14ac:dyDescent="0.5">
      <c r="A1" s="2" t="s">
        <v>198</v>
      </c>
      <c r="B1" s="5"/>
    </row>
    <row r="3" spans="1:23" x14ac:dyDescent="0.35">
      <c r="B3" t="s">
        <v>2</v>
      </c>
      <c r="C3" t="s">
        <v>3</v>
      </c>
      <c r="D3" t="s">
        <v>4</v>
      </c>
      <c r="E3" t="s">
        <v>57</v>
      </c>
    </row>
    <row r="4" spans="1:23" x14ac:dyDescent="0.35">
      <c r="A4" t="s">
        <v>1</v>
      </c>
      <c r="B4" s="3">
        <v>13490325</v>
      </c>
      <c r="C4">
        <f>12*1050</f>
        <v>12600</v>
      </c>
      <c r="D4">
        <f>0.05*C4</f>
        <v>630</v>
      </c>
      <c r="E4" s="3">
        <f>B4*(C4+D4)</f>
        <v>178476999750</v>
      </c>
    </row>
    <row r="5" spans="1:23" x14ac:dyDescent="0.35">
      <c r="A5" t="s">
        <v>54</v>
      </c>
      <c r="B5" s="3">
        <v>3791838</v>
      </c>
      <c r="C5">
        <v>1300</v>
      </c>
      <c r="D5">
        <f>0.05*1200</f>
        <v>60</v>
      </c>
      <c r="E5" s="3">
        <f>B5*(C5+D5)</f>
        <v>5156899680</v>
      </c>
      <c r="G5" s="3">
        <f>E4+E5</f>
        <v>183633899430</v>
      </c>
      <c r="T5" s="18"/>
      <c r="U5" s="18"/>
      <c r="V5" s="18"/>
      <c r="W5" s="18"/>
    </row>
    <row r="6" spans="1:23" x14ac:dyDescent="0.35">
      <c r="A6" t="s">
        <v>7</v>
      </c>
      <c r="B6" s="3"/>
      <c r="E6" s="3">
        <f>0.15*E25</f>
        <v>4882800000</v>
      </c>
      <c r="T6" s="18"/>
      <c r="U6" s="18"/>
      <c r="V6" s="18"/>
      <c r="W6" s="18"/>
    </row>
    <row r="7" spans="1:23" x14ac:dyDescent="0.35">
      <c r="A7" t="s">
        <v>56</v>
      </c>
      <c r="E7" s="3">
        <f>SUM(E4:E6)</f>
        <v>188516699430</v>
      </c>
      <c r="F7" t="s">
        <v>6</v>
      </c>
      <c r="M7" s="13">
        <f>E7</f>
        <v>188516699430</v>
      </c>
      <c r="T7" s="18"/>
      <c r="U7" s="18"/>
      <c r="V7" s="18"/>
      <c r="W7" s="18"/>
    </row>
    <row r="8" spans="1:23" x14ac:dyDescent="0.35">
      <c r="A8" t="s">
        <v>5</v>
      </c>
      <c r="B8" s="3">
        <f>SUM(B4:B5)</f>
        <v>17282163</v>
      </c>
      <c r="T8" s="18"/>
      <c r="U8" s="18"/>
      <c r="V8" s="18"/>
      <c r="W8" s="18"/>
    </row>
    <row r="9" spans="1:23" x14ac:dyDescent="0.35">
      <c r="B9" s="3"/>
      <c r="T9" s="18"/>
      <c r="U9" s="18"/>
      <c r="V9" s="18"/>
      <c r="W9" s="18"/>
    </row>
    <row r="10" spans="1:23" x14ac:dyDescent="0.35">
      <c r="A10" t="s">
        <v>15</v>
      </c>
      <c r="T10" s="18"/>
      <c r="U10" s="18"/>
      <c r="V10" s="18"/>
      <c r="W10" s="18"/>
    </row>
    <row r="11" spans="1:23" x14ac:dyDescent="0.35">
      <c r="A11" s="1" t="s">
        <v>77</v>
      </c>
      <c r="B11" t="s">
        <v>2</v>
      </c>
      <c r="C11" t="s">
        <v>13</v>
      </c>
      <c r="D11" t="s">
        <v>14</v>
      </c>
      <c r="E11" t="s">
        <v>5</v>
      </c>
      <c r="T11" s="18"/>
      <c r="U11" s="18"/>
      <c r="V11" s="18"/>
      <c r="W11" s="18"/>
    </row>
    <row r="12" spans="1:23" x14ac:dyDescent="0.35">
      <c r="A12" t="s">
        <v>8</v>
      </c>
      <c r="B12" s="3">
        <v>1400000</v>
      </c>
      <c r="C12" s="3">
        <v>85000000</v>
      </c>
      <c r="D12" s="3">
        <v>3600000000</v>
      </c>
      <c r="E12" s="3">
        <f>C12+D12</f>
        <v>3685000000</v>
      </c>
      <c r="F12" s="3"/>
      <c r="T12" s="18"/>
      <c r="U12" s="18"/>
      <c r="V12" s="18"/>
      <c r="W12" s="18"/>
    </row>
    <row r="13" spans="1:23" x14ac:dyDescent="0.35">
      <c r="A13" t="s">
        <v>9</v>
      </c>
      <c r="B13" s="3">
        <v>4500000</v>
      </c>
      <c r="C13" s="3">
        <v>68000000</v>
      </c>
      <c r="D13" s="3">
        <v>4700000000</v>
      </c>
      <c r="E13" s="3">
        <f>C13+D13</f>
        <v>4768000000</v>
      </c>
      <c r="F13" s="3"/>
      <c r="T13" s="18"/>
      <c r="U13" s="18"/>
      <c r="V13" s="18"/>
      <c r="W13" s="18"/>
    </row>
    <row r="14" spans="1:23" x14ac:dyDescent="0.35">
      <c r="A14" t="s">
        <v>10</v>
      </c>
      <c r="B14" s="3">
        <v>1870000</v>
      </c>
      <c r="D14" s="3">
        <v>3300000000</v>
      </c>
      <c r="E14" s="3">
        <v>3300000000</v>
      </c>
      <c r="F14" s="3"/>
    </row>
    <row r="15" spans="1:23" x14ac:dyDescent="0.35">
      <c r="A15" t="s">
        <v>11</v>
      </c>
      <c r="B15" s="3">
        <v>700000</v>
      </c>
      <c r="C15" s="3">
        <v>20000000</v>
      </c>
      <c r="D15" s="3">
        <v>1900000000</v>
      </c>
      <c r="E15" s="3">
        <f>C15+D15</f>
        <v>1920000000</v>
      </c>
      <c r="F15" s="3"/>
    </row>
    <row r="16" spans="1:23" x14ac:dyDescent="0.35">
      <c r="A16" t="s">
        <v>12</v>
      </c>
      <c r="B16" s="3">
        <v>600000</v>
      </c>
      <c r="C16" s="3">
        <v>69000000</v>
      </c>
      <c r="D16" s="3">
        <v>2600000000</v>
      </c>
      <c r="E16" s="3">
        <f>C16+D16</f>
        <v>2669000000</v>
      </c>
      <c r="F16" s="3"/>
    </row>
    <row r="17" spans="1:13" x14ac:dyDescent="0.35">
      <c r="A17" t="s">
        <v>55</v>
      </c>
      <c r="B17" s="3">
        <v>400000</v>
      </c>
      <c r="C17" s="3"/>
      <c r="D17" s="3">
        <v>14000</v>
      </c>
      <c r="E17" s="3">
        <f>D17*B17</f>
        <v>5600000000</v>
      </c>
    </row>
    <row r="18" spans="1:13" x14ac:dyDescent="0.35">
      <c r="A18" t="s">
        <v>28</v>
      </c>
      <c r="B18" s="3"/>
      <c r="C18" s="3"/>
      <c r="D18" s="3"/>
      <c r="E18" s="3">
        <v>5000000000</v>
      </c>
    </row>
    <row r="19" spans="1:13" x14ac:dyDescent="0.35">
      <c r="A19" t="s">
        <v>59</v>
      </c>
      <c r="B19" s="3"/>
      <c r="C19" s="3"/>
      <c r="D19" s="3"/>
      <c r="E19" s="3">
        <v>2460000000</v>
      </c>
    </row>
    <row r="20" spans="1:13" x14ac:dyDescent="0.35">
      <c r="A20" t="s">
        <v>5</v>
      </c>
      <c r="B20" s="3"/>
      <c r="C20" s="3">
        <f>SUM(C12:C19)</f>
        <v>242000000</v>
      </c>
      <c r="D20" s="3">
        <f>SUM(D12:D19)</f>
        <v>16100014000</v>
      </c>
      <c r="E20" s="3">
        <f>SUM(E12:E19)</f>
        <v>29402000000</v>
      </c>
      <c r="F20" s="3">
        <f>E20-C20</f>
        <v>29160000000</v>
      </c>
      <c r="M20" s="3"/>
    </row>
    <row r="21" spans="1:13" x14ac:dyDescent="0.35">
      <c r="B21" s="3"/>
      <c r="C21" s="3"/>
      <c r="D21" s="3"/>
      <c r="E21" s="3"/>
    </row>
    <row r="22" spans="1:13" x14ac:dyDescent="0.35">
      <c r="A22" s="1" t="s">
        <v>58</v>
      </c>
    </row>
    <row r="23" spans="1:13" x14ac:dyDescent="0.35">
      <c r="A23" t="s">
        <v>33</v>
      </c>
      <c r="B23" s="3">
        <v>250000</v>
      </c>
      <c r="C23">
        <v>12600</v>
      </c>
      <c r="E23" s="3">
        <f>B23*C23</f>
        <v>3150000000</v>
      </c>
      <c r="M23" s="3"/>
    </row>
    <row r="25" spans="1:13" x14ac:dyDescent="0.35">
      <c r="A25" s="6" t="s">
        <v>41</v>
      </c>
      <c r="E25" s="12">
        <f>E23+E20</f>
        <v>32552000000</v>
      </c>
      <c r="M25" s="7">
        <f>E25</f>
        <v>32552000000</v>
      </c>
    </row>
    <row r="27" spans="1:13" x14ac:dyDescent="0.35">
      <c r="A27" t="s">
        <v>27</v>
      </c>
    </row>
    <row r="28" spans="1:13" x14ac:dyDescent="0.35">
      <c r="A28" t="s">
        <v>17</v>
      </c>
      <c r="B28">
        <v>3121070</v>
      </c>
    </row>
    <row r="29" spans="1:13" x14ac:dyDescent="0.35">
      <c r="A29" t="s">
        <v>18</v>
      </c>
      <c r="B29">
        <v>10369255</v>
      </c>
    </row>
    <row r="30" spans="1:13" x14ac:dyDescent="0.35">
      <c r="A30" t="s">
        <v>26</v>
      </c>
      <c r="B30">
        <v>13490325</v>
      </c>
    </row>
    <row r="32" spans="1:13" ht="18.5" x14ac:dyDescent="0.45">
      <c r="A32" s="5" t="s">
        <v>34</v>
      </c>
    </row>
    <row r="33" spans="1:19" x14ac:dyDescent="0.35">
      <c r="A33" t="s">
        <v>19</v>
      </c>
      <c r="B33">
        <v>1</v>
      </c>
      <c r="C33">
        <v>2</v>
      </c>
      <c r="D33">
        <v>3</v>
      </c>
      <c r="E33">
        <v>4</v>
      </c>
      <c r="F33">
        <v>5</v>
      </c>
      <c r="G33">
        <v>6</v>
      </c>
      <c r="H33">
        <v>7</v>
      </c>
      <c r="I33">
        <v>8</v>
      </c>
      <c r="J33">
        <v>9</v>
      </c>
      <c r="K33">
        <v>10</v>
      </c>
    </row>
    <row r="34" spans="1:19" x14ac:dyDescent="0.35">
      <c r="A34" s="1" t="s">
        <v>124</v>
      </c>
    </row>
    <row r="35" spans="1:19" x14ac:dyDescent="0.35">
      <c r="A35" t="s">
        <v>64</v>
      </c>
      <c r="B35" s="4">
        <v>2400</v>
      </c>
      <c r="C35" s="4">
        <v>9500</v>
      </c>
      <c r="D35" s="4">
        <v>14400</v>
      </c>
      <c r="E35" s="4">
        <v>18700</v>
      </c>
      <c r="F35" s="4">
        <v>24700</v>
      </c>
      <c r="G35" s="4">
        <v>31600</v>
      </c>
      <c r="H35" s="36">
        <v>39900</v>
      </c>
      <c r="I35" s="4">
        <v>49700</v>
      </c>
      <c r="J35" s="4">
        <v>64500</v>
      </c>
      <c r="K35" s="4">
        <v>113800</v>
      </c>
    </row>
    <row r="36" spans="1:19" x14ac:dyDescent="0.35">
      <c r="A36" t="s">
        <v>22</v>
      </c>
      <c r="B36" s="4"/>
      <c r="C36" s="4"/>
      <c r="D36" s="4"/>
      <c r="E36" s="4"/>
      <c r="F36" s="4"/>
      <c r="G36" s="4"/>
      <c r="H36" s="4"/>
      <c r="I36" s="4"/>
      <c r="J36" s="4"/>
      <c r="K36" s="4"/>
    </row>
    <row r="37" spans="1:19" x14ac:dyDescent="0.35">
      <c r="A37" t="s">
        <v>20</v>
      </c>
      <c r="B37" s="4">
        <f>IF(B35&lt;68507,37.35%*B35,(37.35%*68507+(B35-68507)*49.5%))</f>
        <v>896.4</v>
      </c>
      <c r="C37" s="4">
        <f>IF(C35&lt;68507,37.35%*C35,(37.35%*68507+(C35-68507)*49.5%))</f>
        <v>3548.25</v>
      </c>
      <c r="D37" s="4">
        <f t="shared" ref="D37:K37" si="0">IF(D35&lt;68507,37.35%*D35,(37.35%*68507+(D35-68507)*49.5%))</f>
        <v>5378.4</v>
      </c>
      <c r="E37" s="4">
        <f t="shared" si="0"/>
        <v>6984.45</v>
      </c>
      <c r="F37" s="4">
        <f t="shared" si="0"/>
        <v>9225.4500000000007</v>
      </c>
      <c r="G37" s="4">
        <f t="shared" si="0"/>
        <v>11802.6</v>
      </c>
      <c r="H37" s="4">
        <f t="shared" si="0"/>
        <v>14902.65</v>
      </c>
      <c r="I37" s="4">
        <f t="shared" si="0"/>
        <v>18562.95</v>
      </c>
      <c r="J37" s="4">
        <f t="shared" si="0"/>
        <v>24090.75</v>
      </c>
      <c r="K37" s="4">
        <f t="shared" si="0"/>
        <v>48007.3995</v>
      </c>
    </row>
    <row r="38" spans="1:19" x14ac:dyDescent="0.35">
      <c r="A38" t="s">
        <v>21</v>
      </c>
      <c r="B38" s="4">
        <f t="shared" ref="B38:K38" si="1">IF(B35&lt;20711,2711,IF(B35&lt;68507,(2711-0.05672*(B35-20711)),0))</f>
        <v>2711</v>
      </c>
      <c r="C38" s="4">
        <f t="shared" si="1"/>
        <v>2711</v>
      </c>
      <c r="D38" s="4">
        <f t="shared" si="1"/>
        <v>2711</v>
      </c>
      <c r="E38" s="4">
        <f t="shared" si="1"/>
        <v>2711</v>
      </c>
      <c r="F38" s="4">
        <f t="shared" si="1"/>
        <v>2484.7439199999999</v>
      </c>
      <c r="G38" s="4">
        <f t="shared" si="1"/>
        <v>2093.37592</v>
      </c>
      <c r="H38" s="4">
        <f t="shared" si="1"/>
        <v>1622.5999200000001</v>
      </c>
      <c r="I38" s="4">
        <f t="shared" si="1"/>
        <v>1066.7439200000001</v>
      </c>
      <c r="J38" s="4">
        <f t="shared" si="1"/>
        <v>227.28792000000021</v>
      </c>
      <c r="K38" s="4">
        <f t="shared" si="1"/>
        <v>0</v>
      </c>
      <c r="R38" t="s">
        <v>76</v>
      </c>
    </row>
    <row r="39" spans="1:19" x14ac:dyDescent="0.35">
      <c r="A39" t="s">
        <v>23</v>
      </c>
      <c r="B39" s="4">
        <f t="shared" ref="B39:I39" si="2">IF(B35&lt;9921,0.02812*B35,IF(B35&lt;21430,279+0.28812*(B35-9921),IF(B35&lt;34954,3595+0.01656*(B35-21430),IF(B35&lt;98604,3819-0.06*(B35-34954),0))))</f>
        <v>67.488</v>
      </c>
      <c r="C39" s="4">
        <f t="shared" si="2"/>
        <v>267.14</v>
      </c>
      <c r="D39" s="4">
        <f t="shared" si="2"/>
        <v>1569.48948</v>
      </c>
      <c r="E39" s="4">
        <f t="shared" si="2"/>
        <v>2808.4054799999999</v>
      </c>
      <c r="F39" s="4">
        <f t="shared" si="2"/>
        <v>3649.1511999999998</v>
      </c>
      <c r="G39" s="4">
        <f t="shared" si="2"/>
        <v>3763.4151999999999</v>
      </c>
      <c r="H39" s="4">
        <f t="shared" si="2"/>
        <v>3522.24</v>
      </c>
      <c r="I39" s="4">
        <f t="shared" si="2"/>
        <v>2934.24</v>
      </c>
      <c r="J39" s="4">
        <f>IF(J35&lt;9921,0.02812*J35,IF(J35&lt;21430,279+0.28812*(J35-9921),IF(J35&lt;34954,3595+0.01656*(J35-21430),IF(J35&lt;98604,3819-0.06*(J35-34954),0))))</f>
        <v>2046.24</v>
      </c>
      <c r="K39" s="4">
        <f>IF(K35&lt;9921,0.02812*K35,IF(K35&lt;21430,279+0.28812*(K35-9921),IF(K35&lt;34954,3595+0.01656*(K35-21430),IF(K35&lt;98604,3819-0.06*(K35-34954),0))))</f>
        <v>0</v>
      </c>
      <c r="O39" t="s">
        <v>74</v>
      </c>
      <c r="R39" s="10">
        <f>K35/SUM(B35:K35)*100%</f>
        <v>0.30823401950162516</v>
      </c>
      <c r="S39" s="10"/>
    </row>
    <row r="40" spans="1:19" x14ac:dyDescent="0.35">
      <c r="A40" t="s">
        <v>24</v>
      </c>
      <c r="B40" s="4">
        <f>IF(B37-B38-B39&lt;0,0,B37-B38-B39)</f>
        <v>0</v>
      </c>
      <c r="C40" s="4">
        <f t="shared" ref="C40:K40" si="3">IF(C37-C38-C39&lt;0,0,C37-C38-C39)</f>
        <v>570.11</v>
      </c>
      <c r="D40" s="4">
        <f t="shared" si="3"/>
        <v>1097.9105199999997</v>
      </c>
      <c r="E40" s="4">
        <f t="shared" si="3"/>
        <v>1465.0445199999999</v>
      </c>
      <c r="F40" s="4">
        <f t="shared" si="3"/>
        <v>3091.554880000001</v>
      </c>
      <c r="G40" s="4">
        <f t="shared" si="3"/>
        <v>5945.8088800000005</v>
      </c>
      <c r="H40" s="4">
        <f t="shared" si="3"/>
        <v>9757.8100799999993</v>
      </c>
      <c r="I40" s="4">
        <f t="shared" si="3"/>
        <v>14561.96608</v>
      </c>
      <c r="J40" s="4">
        <f t="shared" si="3"/>
        <v>21817.22208</v>
      </c>
      <c r="K40" s="4">
        <f t="shared" si="3"/>
        <v>48007.3995</v>
      </c>
      <c r="M40" s="3">
        <f>($B$29/10)*SUM(B40:K40)</f>
        <v>110240554667.40279</v>
      </c>
      <c r="O40" t="s">
        <v>75</v>
      </c>
      <c r="R40" s="10">
        <f>SUM(B35:F35)/SUM(B35:K35)</f>
        <v>0.18878656554712892</v>
      </c>
      <c r="S40" s="10"/>
    </row>
    <row r="41" spans="1:19" x14ac:dyDescent="0.35">
      <c r="A41" t="s">
        <v>25</v>
      </c>
      <c r="B41" s="4">
        <f>B35-B40</f>
        <v>2400</v>
      </c>
      <c r="C41" s="4">
        <f t="shared" ref="C41:K41" si="4">C35-C40</f>
        <v>8929.89</v>
      </c>
      <c r="D41" s="4">
        <f t="shared" si="4"/>
        <v>13302.089480000001</v>
      </c>
      <c r="E41" s="4">
        <f t="shared" si="4"/>
        <v>17234.955480000001</v>
      </c>
      <c r="F41" s="4">
        <f t="shared" si="4"/>
        <v>21608.44512</v>
      </c>
      <c r="G41" s="4">
        <f t="shared" si="4"/>
        <v>25654.19112</v>
      </c>
      <c r="H41" s="4">
        <f t="shared" si="4"/>
        <v>30142.189920000001</v>
      </c>
      <c r="I41" s="4">
        <f t="shared" si="4"/>
        <v>35138.033920000002</v>
      </c>
      <c r="J41" s="4">
        <f t="shared" si="4"/>
        <v>42682.77792</v>
      </c>
      <c r="K41" s="4">
        <f t="shared" si="4"/>
        <v>65792.6005</v>
      </c>
    </row>
    <row r="42" spans="1:19" x14ac:dyDescent="0.35">
      <c r="A42" t="s">
        <v>65</v>
      </c>
      <c r="B42" s="4"/>
      <c r="C42" s="4">
        <f>C41</f>
        <v>8929.89</v>
      </c>
      <c r="D42" s="4">
        <f t="shared" ref="D42:I42" si="5">D41</f>
        <v>13302.089480000001</v>
      </c>
      <c r="E42" s="4">
        <f t="shared" si="5"/>
        <v>17234.955480000001</v>
      </c>
      <c r="F42" s="4">
        <f t="shared" si="5"/>
        <v>21608.44512</v>
      </c>
      <c r="G42" s="4">
        <f t="shared" si="5"/>
        <v>25654.19112</v>
      </c>
      <c r="H42" s="4">
        <f t="shared" si="5"/>
        <v>30142.189920000001</v>
      </c>
      <c r="I42" s="4">
        <f t="shared" si="5"/>
        <v>35138.033920000002</v>
      </c>
      <c r="J42" s="4"/>
      <c r="K42" s="4"/>
    </row>
    <row r="43" spans="1:19" x14ac:dyDescent="0.35">
      <c r="B43" s="3"/>
      <c r="C43" s="3"/>
      <c r="D43" s="3"/>
      <c r="E43" s="3"/>
      <c r="F43" s="3"/>
      <c r="G43" s="3"/>
      <c r="H43" s="3"/>
      <c r="I43" s="3"/>
      <c r="J43" s="3"/>
      <c r="K43" s="3"/>
    </row>
    <row r="44" spans="1:19" x14ac:dyDescent="0.35">
      <c r="A44" t="s">
        <v>30</v>
      </c>
      <c r="B44" s="3"/>
      <c r="C44" s="3"/>
      <c r="J44" s="3"/>
      <c r="K44" s="3"/>
    </row>
    <row r="45" spans="1:19" x14ac:dyDescent="0.35">
      <c r="A45" t="s">
        <v>120</v>
      </c>
      <c r="B45" s="3"/>
      <c r="C45" s="3"/>
      <c r="D45" s="4">
        <f t="shared" ref="D45:J45" si="6">D35</f>
        <v>14400</v>
      </c>
      <c r="E45" s="4">
        <f t="shared" si="6"/>
        <v>18700</v>
      </c>
      <c r="F45" s="4">
        <f t="shared" si="6"/>
        <v>24700</v>
      </c>
      <c r="G45" s="4">
        <f t="shared" si="6"/>
        <v>31600</v>
      </c>
      <c r="H45" s="4">
        <f t="shared" si="6"/>
        <v>39900</v>
      </c>
      <c r="I45" s="4">
        <f t="shared" si="6"/>
        <v>49700</v>
      </c>
      <c r="J45" s="4">
        <f t="shared" si="6"/>
        <v>64500</v>
      </c>
      <c r="K45" s="3"/>
    </row>
    <row r="46" spans="1:19" x14ac:dyDescent="0.35">
      <c r="A46" t="s">
        <v>31</v>
      </c>
      <c r="B46" s="3"/>
      <c r="C46" s="3"/>
      <c r="D46" s="4">
        <f t="shared" ref="D46:J46" si="7">IF(D45&lt;35376,19.45%*D45,IF(D45&lt;68507,6880+(D45-35376)*37.35%,6880+12374+(D45-68507)*49.5%))</f>
        <v>2800.8</v>
      </c>
      <c r="E46" s="4">
        <f t="shared" si="7"/>
        <v>3637.15</v>
      </c>
      <c r="F46" s="4">
        <f t="shared" si="7"/>
        <v>4804.1500000000005</v>
      </c>
      <c r="G46" s="4">
        <f t="shared" si="7"/>
        <v>6146.2</v>
      </c>
      <c r="H46" s="4">
        <f t="shared" si="7"/>
        <v>8569.7139999999999</v>
      </c>
      <c r="I46" s="4">
        <f t="shared" si="7"/>
        <v>12230.013999999999</v>
      </c>
      <c r="J46" s="4">
        <f t="shared" si="7"/>
        <v>17757.813999999998</v>
      </c>
      <c r="K46" s="3"/>
    </row>
    <row r="47" spans="1:19" x14ac:dyDescent="0.35">
      <c r="A47" t="s">
        <v>21</v>
      </c>
      <c r="B47" s="3"/>
      <c r="C47" s="3"/>
      <c r="D47" s="4">
        <f>IF(D45&lt;20711,1413,IF(D45&lt;68507,(1413-0.02954*(D45-20711)),0))</f>
        <v>1413</v>
      </c>
      <c r="E47" s="4">
        <f t="shared" ref="E47:J47" si="8">IF(E45&lt;20711,1413,IF(E45&lt;68507,(1413-0.02954*(E45-20711)),0))</f>
        <v>1413</v>
      </c>
      <c r="F47" s="4">
        <f t="shared" si="8"/>
        <v>1295.1649400000001</v>
      </c>
      <c r="G47" s="4">
        <f t="shared" si="8"/>
        <v>1091.3389400000001</v>
      </c>
      <c r="H47" s="4">
        <f t="shared" si="8"/>
        <v>846.15693999999996</v>
      </c>
      <c r="I47" s="4">
        <f t="shared" si="8"/>
        <v>556.66494</v>
      </c>
      <c r="J47" s="4">
        <f t="shared" si="8"/>
        <v>119.47293999999988</v>
      </c>
      <c r="K47" s="3"/>
    </row>
    <row r="48" spans="1:19" x14ac:dyDescent="0.35">
      <c r="A48" t="s">
        <v>35</v>
      </c>
      <c r="B48" s="3"/>
      <c r="C48" s="3"/>
      <c r="D48" s="4">
        <f>IF(D45&lt;37372,1622,IF(D45&lt;37372,1622-0.15*(D45-37372),0))</f>
        <v>1622</v>
      </c>
      <c r="E48" s="4">
        <f t="shared" ref="E48:J48" si="9">IF(E45&lt;37372,1622,IF(E45&lt;37372,1622-0.15*(E45-37372),0))</f>
        <v>1622</v>
      </c>
      <c r="F48" s="4">
        <f t="shared" si="9"/>
        <v>1622</v>
      </c>
      <c r="G48" s="4">
        <f t="shared" si="9"/>
        <v>1622</v>
      </c>
      <c r="H48" s="4">
        <f t="shared" si="9"/>
        <v>0</v>
      </c>
      <c r="I48" s="4">
        <f t="shared" si="9"/>
        <v>0</v>
      </c>
      <c r="J48" s="4">
        <f t="shared" si="9"/>
        <v>0</v>
      </c>
      <c r="K48" s="3"/>
    </row>
    <row r="49" spans="1:13" x14ac:dyDescent="0.35">
      <c r="A49" t="s">
        <v>24</v>
      </c>
      <c r="B49" s="3"/>
      <c r="C49" s="3"/>
      <c r="D49" s="4">
        <f t="shared" ref="D49:J49" si="10">IF(D46-D47-D48&lt;0,0,D46-D47-D48)</f>
        <v>0</v>
      </c>
      <c r="E49" s="4">
        <f t="shared" si="10"/>
        <v>602.15000000000009</v>
      </c>
      <c r="F49" s="4">
        <f t="shared" si="10"/>
        <v>1886.9850600000004</v>
      </c>
      <c r="G49" s="4">
        <f t="shared" si="10"/>
        <v>3432.8610599999993</v>
      </c>
      <c r="H49" s="4">
        <f t="shared" si="10"/>
        <v>7723.5570600000001</v>
      </c>
      <c r="I49" s="4">
        <f t="shared" si="10"/>
        <v>11673.349059999999</v>
      </c>
      <c r="J49" s="4">
        <f t="shared" si="10"/>
        <v>17638.341059999999</v>
      </c>
      <c r="K49" s="3"/>
      <c r="M49" s="3">
        <f>($B$28/7)*SUM(D49:J49)</f>
        <v>19153223335.19014</v>
      </c>
    </row>
    <row r="50" spans="1:13" x14ac:dyDescent="0.35">
      <c r="A50" t="s">
        <v>25</v>
      </c>
      <c r="B50" s="3"/>
      <c r="C50" s="3"/>
      <c r="D50" s="4">
        <f>D45-D49</f>
        <v>14400</v>
      </c>
      <c r="E50" s="4">
        <f t="shared" ref="E50:J50" si="11">E45-E49</f>
        <v>18097.849999999999</v>
      </c>
      <c r="F50" s="4">
        <f t="shared" si="11"/>
        <v>22813.014940000001</v>
      </c>
      <c r="G50" s="4">
        <f t="shared" si="11"/>
        <v>28167.138940000001</v>
      </c>
      <c r="H50" s="4">
        <f t="shared" si="11"/>
        <v>32176.442940000001</v>
      </c>
      <c r="I50" s="4">
        <f t="shared" si="11"/>
        <v>38026.65094</v>
      </c>
      <c r="J50" s="4">
        <f t="shared" si="11"/>
        <v>46861.658940000001</v>
      </c>
      <c r="K50" s="3"/>
      <c r="M50" s="3"/>
    </row>
    <row r="51" spans="1:13" x14ac:dyDescent="0.35">
      <c r="B51" s="3"/>
      <c r="C51" s="3"/>
      <c r="D51" s="4"/>
      <c r="E51" s="4"/>
      <c r="F51" s="4"/>
      <c r="G51" s="4"/>
      <c r="H51" s="4"/>
      <c r="I51" s="4"/>
      <c r="J51" s="3"/>
      <c r="K51" s="3"/>
    </row>
    <row r="52" spans="1:13" x14ac:dyDescent="0.35">
      <c r="A52" t="s">
        <v>32</v>
      </c>
      <c r="B52" s="3"/>
      <c r="C52" s="3"/>
      <c r="D52" s="4"/>
      <c r="E52" s="4"/>
      <c r="F52" s="4"/>
      <c r="G52" s="4"/>
      <c r="H52" s="4"/>
      <c r="I52" s="4"/>
      <c r="J52" s="3"/>
      <c r="K52" s="3"/>
      <c r="M52" s="3">
        <f>SUM(M40:M50)</f>
        <v>129393778002.59293</v>
      </c>
    </row>
    <row r="53" spans="1:13" x14ac:dyDescent="0.35">
      <c r="B53" s="3"/>
      <c r="C53" s="3"/>
      <c r="D53" s="4"/>
      <c r="E53" s="4"/>
      <c r="F53" s="4"/>
      <c r="G53" s="4"/>
      <c r="H53" s="4"/>
      <c r="I53" s="4"/>
      <c r="J53" s="3"/>
      <c r="K53" s="3"/>
      <c r="M53" s="3"/>
    </row>
    <row r="54" spans="1:13" x14ac:dyDescent="0.35">
      <c r="A54" t="s">
        <v>109</v>
      </c>
      <c r="B54" s="23">
        <f>B40/B35</f>
        <v>0</v>
      </c>
      <c r="C54" s="23">
        <f t="shared" ref="C54:K54" si="12">C40/C35</f>
        <v>6.0011578947368423E-2</v>
      </c>
      <c r="D54" s="23">
        <f t="shared" si="12"/>
        <v>7.6243786111111087E-2</v>
      </c>
      <c r="E54" s="23">
        <f t="shared" si="12"/>
        <v>7.834462673796791E-2</v>
      </c>
      <c r="F54" s="23">
        <f t="shared" si="12"/>
        <v>0.12516416518218629</v>
      </c>
      <c r="G54" s="23">
        <f t="shared" si="12"/>
        <v>0.18815850886075952</v>
      </c>
      <c r="H54" s="23">
        <f t="shared" si="12"/>
        <v>0.24455664360902254</v>
      </c>
      <c r="I54" s="23">
        <f t="shared" si="12"/>
        <v>0.29299730543259556</v>
      </c>
      <c r="J54" s="23">
        <f t="shared" si="12"/>
        <v>0.33825150511627905</v>
      </c>
      <c r="K54" s="23">
        <f t="shared" si="12"/>
        <v>0.42185764059753955</v>
      </c>
      <c r="M54" s="3"/>
    </row>
    <row r="55" spans="1:13" x14ac:dyDescent="0.35">
      <c r="B55" s="3"/>
      <c r="C55" s="3"/>
      <c r="D55" s="3"/>
      <c r="E55" s="3"/>
      <c r="F55" s="3"/>
      <c r="G55" s="3"/>
      <c r="H55" s="3"/>
      <c r="I55" s="3"/>
      <c r="J55" s="3"/>
      <c r="K55" s="3"/>
    </row>
    <row r="56" spans="1:13" ht="18.5" x14ac:dyDescent="0.45">
      <c r="A56" s="5"/>
    </row>
    <row r="57" spans="1:13" ht="18.5" x14ac:dyDescent="0.45">
      <c r="A57" s="5"/>
    </row>
    <row r="58" spans="1:13" x14ac:dyDescent="0.35">
      <c r="B58" s="4"/>
      <c r="C58" s="4"/>
      <c r="D58" s="4"/>
      <c r="E58" s="4"/>
      <c r="F58" s="4"/>
      <c r="G58" s="4"/>
      <c r="H58" s="4"/>
      <c r="I58" s="4"/>
      <c r="J58" s="4"/>
      <c r="K58" s="4"/>
    </row>
    <row r="59" spans="1:13" x14ac:dyDescent="0.35">
      <c r="B59" s="4"/>
      <c r="C59" s="4"/>
      <c r="D59" s="4"/>
      <c r="E59" s="4"/>
      <c r="F59" s="4"/>
      <c r="G59" s="4"/>
      <c r="H59" s="4"/>
      <c r="I59" s="4"/>
      <c r="J59" s="4"/>
      <c r="K59" s="4"/>
    </row>
    <row r="60" spans="1:13" x14ac:dyDescent="0.35">
      <c r="B60" s="4"/>
      <c r="C60" s="4"/>
      <c r="D60" s="4"/>
      <c r="E60" s="4"/>
      <c r="F60" s="4"/>
      <c r="G60" s="4"/>
      <c r="H60" s="4"/>
      <c r="I60" s="4"/>
      <c r="J60" s="4"/>
      <c r="K60" s="4"/>
    </row>
    <row r="61" spans="1:13" x14ac:dyDescent="0.35">
      <c r="B61" s="4"/>
      <c r="C61" s="4"/>
      <c r="D61" s="4"/>
      <c r="E61" s="4"/>
      <c r="F61" s="4"/>
      <c r="G61" s="4"/>
      <c r="H61" s="4"/>
      <c r="I61" s="4"/>
      <c r="J61" s="4"/>
      <c r="K61" s="4"/>
    </row>
    <row r="62" spans="1:13" x14ac:dyDescent="0.35">
      <c r="B62" s="4"/>
      <c r="C62" s="4"/>
      <c r="D62" s="4"/>
      <c r="E62" s="4"/>
      <c r="F62" s="4"/>
      <c r="G62" s="4"/>
      <c r="H62" s="4"/>
      <c r="I62" s="4"/>
      <c r="J62" s="4"/>
      <c r="K62" s="4"/>
    </row>
    <row r="63" spans="1:13" x14ac:dyDescent="0.35">
      <c r="B63" s="4"/>
      <c r="C63" s="4"/>
      <c r="D63" s="4"/>
      <c r="E63" s="4"/>
      <c r="F63" s="4"/>
      <c r="G63" s="4"/>
      <c r="H63" s="4"/>
      <c r="I63" s="4"/>
      <c r="J63" s="4"/>
      <c r="K63" s="4"/>
    </row>
    <row r="64" spans="1:13" x14ac:dyDescent="0.35">
      <c r="B64" s="4"/>
      <c r="C64" s="4"/>
      <c r="D64" s="4"/>
      <c r="E64" s="4"/>
      <c r="F64" s="4"/>
      <c r="G64" s="4"/>
      <c r="H64" s="4"/>
      <c r="I64" s="4"/>
      <c r="J64" s="4"/>
      <c r="K64" s="4"/>
    </row>
    <row r="65" spans="1:27" x14ac:dyDescent="0.35">
      <c r="B65" s="4"/>
      <c r="C65" s="4"/>
      <c r="D65" s="4"/>
      <c r="E65" s="4"/>
      <c r="F65" s="4"/>
      <c r="G65" s="4"/>
      <c r="H65" s="4"/>
      <c r="I65" s="4"/>
      <c r="J65" s="4"/>
      <c r="K65" s="4"/>
    </row>
    <row r="66" spans="1:27" x14ac:dyDescent="0.35">
      <c r="B66" s="4"/>
      <c r="C66" s="4"/>
      <c r="D66" s="4"/>
      <c r="E66" s="4"/>
      <c r="F66" s="4"/>
      <c r="G66" s="4"/>
      <c r="H66" s="4"/>
      <c r="I66" s="4"/>
      <c r="J66" s="4"/>
      <c r="K66" s="4"/>
      <c r="M66" s="3"/>
    </row>
    <row r="67" spans="1:27" x14ac:dyDescent="0.35">
      <c r="B67" s="4"/>
      <c r="C67" s="4"/>
      <c r="D67" s="4"/>
      <c r="E67" s="4"/>
      <c r="F67" s="4"/>
      <c r="G67" s="4"/>
      <c r="H67" s="4"/>
      <c r="I67" s="4"/>
      <c r="J67" s="4"/>
      <c r="K67" s="4"/>
    </row>
    <row r="70" spans="1:27" x14ac:dyDescent="0.35">
      <c r="D70" s="4"/>
      <c r="E70" s="4"/>
      <c r="F70" s="4"/>
      <c r="G70" s="4"/>
      <c r="H70" s="4"/>
      <c r="I70" s="4"/>
      <c r="J70" s="4"/>
      <c r="K70" s="4"/>
      <c r="Q70" t="s">
        <v>78</v>
      </c>
    </row>
    <row r="71" spans="1:27" x14ac:dyDescent="0.35">
      <c r="D71" s="4"/>
      <c r="E71" s="4"/>
      <c r="F71" s="4"/>
      <c r="G71" s="4"/>
      <c r="H71" s="4"/>
      <c r="I71" s="4"/>
      <c r="J71" s="4"/>
      <c r="K71" s="4"/>
      <c r="Q71" t="s">
        <v>19</v>
      </c>
      <c r="R71">
        <f t="shared" ref="R71:AA71" si="13">B33</f>
        <v>1</v>
      </c>
      <c r="S71">
        <f t="shared" si="13"/>
        <v>2</v>
      </c>
      <c r="T71">
        <f t="shared" si="13"/>
        <v>3</v>
      </c>
      <c r="U71">
        <f t="shared" si="13"/>
        <v>4</v>
      </c>
      <c r="V71">
        <f t="shared" si="13"/>
        <v>5</v>
      </c>
      <c r="W71">
        <f t="shared" si="13"/>
        <v>6</v>
      </c>
      <c r="X71">
        <f t="shared" si="13"/>
        <v>7</v>
      </c>
      <c r="Y71">
        <f t="shared" si="13"/>
        <v>8</v>
      </c>
      <c r="Z71">
        <f t="shared" si="13"/>
        <v>9</v>
      </c>
      <c r="AA71">
        <f t="shared" si="13"/>
        <v>10</v>
      </c>
    </row>
    <row r="72" spans="1:27" x14ac:dyDescent="0.35">
      <c r="D72" s="4"/>
      <c r="E72" s="4"/>
      <c r="F72" s="4"/>
      <c r="G72" s="4"/>
      <c r="H72" s="4"/>
      <c r="I72" s="4"/>
      <c r="J72" s="4"/>
      <c r="Q72" s="26" t="s">
        <v>79</v>
      </c>
      <c r="R72" s="14"/>
      <c r="S72" s="14"/>
      <c r="T72" s="14"/>
      <c r="U72" s="14"/>
      <c r="V72" s="14"/>
      <c r="W72" s="14"/>
      <c r="X72" s="14"/>
      <c r="Y72" s="14"/>
      <c r="Z72" s="14"/>
      <c r="AA72" s="14"/>
    </row>
    <row r="73" spans="1:27" x14ac:dyDescent="0.35">
      <c r="Q73" s="14" t="s">
        <v>119</v>
      </c>
      <c r="R73" s="27">
        <f>B35</f>
        <v>2400</v>
      </c>
      <c r="S73" s="27">
        <f t="shared" ref="S73:AA73" si="14">C35</f>
        <v>9500</v>
      </c>
      <c r="T73" s="27">
        <f t="shared" si="14"/>
        <v>14400</v>
      </c>
      <c r="U73" s="27">
        <f t="shared" si="14"/>
        <v>18700</v>
      </c>
      <c r="V73" s="27">
        <f t="shared" si="14"/>
        <v>24700</v>
      </c>
      <c r="W73" s="27">
        <f t="shared" si="14"/>
        <v>31600</v>
      </c>
      <c r="X73" s="27">
        <f t="shared" si="14"/>
        <v>39900</v>
      </c>
      <c r="Y73" s="27">
        <f t="shared" si="14"/>
        <v>49700</v>
      </c>
      <c r="Z73" s="27">
        <f t="shared" si="14"/>
        <v>64500</v>
      </c>
      <c r="AA73" s="27">
        <f t="shared" si="14"/>
        <v>113800</v>
      </c>
    </row>
    <row r="74" spans="1:27" x14ac:dyDescent="0.35">
      <c r="D74" s="4"/>
      <c r="E74" s="4"/>
      <c r="F74" s="4"/>
      <c r="G74" s="4"/>
      <c r="H74" s="4"/>
      <c r="I74" s="4"/>
      <c r="J74" s="4"/>
      <c r="M74" s="3"/>
      <c r="Q74" s="14" t="s">
        <v>82</v>
      </c>
      <c r="R74" s="27">
        <f t="shared" ref="R74:AA74" si="15">B41</f>
        <v>2400</v>
      </c>
      <c r="S74" s="27">
        <f t="shared" si="15"/>
        <v>8929.89</v>
      </c>
      <c r="T74" s="27">
        <f t="shared" si="15"/>
        <v>13302.089480000001</v>
      </c>
      <c r="U74" s="27">
        <f t="shared" si="15"/>
        <v>17234.955480000001</v>
      </c>
      <c r="V74" s="27">
        <f t="shared" si="15"/>
        <v>21608.44512</v>
      </c>
      <c r="W74" s="27">
        <f t="shared" si="15"/>
        <v>25654.19112</v>
      </c>
      <c r="X74" s="27">
        <f t="shared" si="15"/>
        <v>30142.189920000001</v>
      </c>
      <c r="Y74" s="27">
        <f t="shared" si="15"/>
        <v>35138.033920000002</v>
      </c>
      <c r="Z74" s="27">
        <f t="shared" si="15"/>
        <v>42682.77792</v>
      </c>
      <c r="AA74" s="27">
        <f t="shared" si="15"/>
        <v>65792.6005</v>
      </c>
    </row>
    <row r="75" spans="1:27" x14ac:dyDescent="0.35">
      <c r="D75" s="4"/>
      <c r="E75" s="4"/>
      <c r="F75" s="4"/>
      <c r="G75" s="4"/>
      <c r="H75" s="4"/>
      <c r="I75" s="4"/>
      <c r="J75" s="4"/>
      <c r="Q75" s="14" t="s">
        <v>80</v>
      </c>
      <c r="R75" s="14"/>
      <c r="S75" s="14"/>
      <c r="T75" s="27">
        <f t="shared" ref="T75:Z75" si="16">D50</f>
        <v>14400</v>
      </c>
      <c r="U75" s="27">
        <f t="shared" si="16"/>
        <v>18097.849999999999</v>
      </c>
      <c r="V75" s="27">
        <f t="shared" si="16"/>
        <v>22813.014940000001</v>
      </c>
      <c r="W75" s="27">
        <f t="shared" si="16"/>
        <v>28167.138940000001</v>
      </c>
      <c r="X75" s="27">
        <f t="shared" si="16"/>
        <v>32176.442940000001</v>
      </c>
      <c r="Y75" s="27">
        <f t="shared" si="16"/>
        <v>38026.65094</v>
      </c>
      <c r="Z75" s="27">
        <f t="shared" si="16"/>
        <v>46861.658940000001</v>
      </c>
      <c r="AA75" s="14"/>
    </row>
    <row r="76" spans="1:27" x14ac:dyDescent="0.35">
      <c r="Q76" s="33"/>
      <c r="R76" s="33"/>
      <c r="S76" s="33"/>
      <c r="T76" s="33"/>
      <c r="U76" s="33"/>
      <c r="V76" s="33"/>
      <c r="W76" s="33"/>
      <c r="X76" s="33"/>
      <c r="Y76" s="33"/>
      <c r="Z76" s="33"/>
      <c r="AA76" s="33"/>
    </row>
    <row r="77" spans="1:27" x14ac:dyDescent="0.35">
      <c r="M77" s="3"/>
      <c r="Q77" s="34"/>
      <c r="R77" s="35"/>
      <c r="S77" s="35"/>
      <c r="T77" s="35"/>
      <c r="U77" s="35"/>
      <c r="V77" s="35"/>
      <c r="W77" s="35"/>
      <c r="X77" s="35"/>
      <c r="Y77" s="35"/>
      <c r="Z77" s="35"/>
      <c r="AA77" s="35"/>
    </row>
    <row r="78" spans="1:27" x14ac:dyDescent="0.35">
      <c r="A78" s="6"/>
      <c r="M78" s="22"/>
      <c r="Q78" s="34"/>
      <c r="R78" s="35"/>
      <c r="S78" s="35"/>
      <c r="T78" s="35"/>
      <c r="U78" s="35"/>
      <c r="V78" s="35"/>
      <c r="W78" s="35"/>
      <c r="X78" s="35"/>
      <c r="Y78" s="35"/>
      <c r="Z78" s="35"/>
      <c r="AA78" s="35"/>
    </row>
    <row r="79" spans="1:27" x14ac:dyDescent="0.35">
      <c r="Q79" s="34"/>
      <c r="R79" s="34"/>
      <c r="S79" s="34"/>
      <c r="T79" s="35"/>
      <c r="U79" s="35"/>
      <c r="V79" s="35"/>
      <c r="W79" s="35"/>
      <c r="X79" s="35"/>
      <c r="Y79" s="35"/>
      <c r="Z79" s="35"/>
      <c r="AA79" s="34"/>
    </row>
    <row r="81" spans="1:27" x14ac:dyDescent="0.35">
      <c r="B81" s="4"/>
      <c r="C81" s="4"/>
      <c r="D81" s="4"/>
      <c r="E81" s="4"/>
      <c r="F81" s="4"/>
      <c r="G81" s="4"/>
      <c r="H81" s="4"/>
      <c r="I81" s="4"/>
      <c r="J81" s="4"/>
      <c r="K81" s="4"/>
    </row>
    <row r="82" spans="1:27" x14ac:dyDescent="0.35">
      <c r="D82" s="4"/>
      <c r="E82" s="4"/>
      <c r="F82" s="4"/>
      <c r="G82" s="4"/>
      <c r="H82" s="4"/>
      <c r="I82" s="4"/>
      <c r="J82" s="4"/>
      <c r="K82" s="4"/>
    </row>
    <row r="85" spans="1:27" x14ac:dyDescent="0.35">
      <c r="B85" s="4"/>
      <c r="C85" s="4"/>
      <c r="D85" s="4"/>
      <c r="E85" s="4"/>
      <c r="F85" s="4"/>
      <c r="G85" s="4"/>
      <c r="H85" s="4"/>
      <c r="I85" s="4"/>
      <c r="J85" s="4"/>
      <c r="K85" s="4"/>
      <c r="Q85" t="s">
        <v>125</v>
      </c>
    </row>
    <row r="86" spans="1:27" x14ac:dyDescent="0.35">
      <c r="D86" s="4"/>
      <c r="E86" s="4"/>
      <c r="F86" s="4"/>
      <c r="G86" s="4"/>
      <c r="H86" s="4"/>
      <c r="I86" s="4"/>
      <c r="Q86" s="6" t="s">
        <v>19</v>
      </c>
      <c r="R86" s="6">
        <v>1</v>
      </c>
      <c r="S86" s="6">
        <v>2</v>
      </c>
      <c r="T86" s="6">
        <v>3</v>
      </c>
      <c r="U86" s="6">
        <v>4</v>
      </c>
      <c r="V86" s="6">
        <v>5</v>
      </c>
      <c r="W86" s="6">
        <v>6</v>
      </c>
      <c r="X86" s="6">
        <v>7</v>
      </c>
      <c r="Y86" s="6">
        <v>8</v>
      </c>
      <c r="Z86" s="6">
        <v>9</v>
      </c>
      <c r="AA86" s="6">
        <v>10</v>
      </c>
    </row>
    <row r="87" spans="1:27" x14ac:dyDescent="0.35">
      <c r="A87" s="8"/>
      <c r="Q87" s="31" t="s">
        <v>121</v>
      </c>
      <c r="R87" s="6"/>
      <c r="S87" s="6"/>
      <c r="T87" s="6"/>
      <c r="U87" s="6"/>
      <c r="V87" s="6"/>
      <c r="W87" s="6"/>
      <c r="X87" s="6"/>
      <c r="Y87" s="6"/>
      <c r="Z87" s="6"/>
      <c r="AA87" s="6"/>
    </row>
    <row r="88" spans="1:27" x14ac:dyDescent="0.35">
      <c r="A88" s="8"/>
      <c r="Q88" s="6" t="s">
        <v>119</v>
      </c>
      <c r="R88" s="32">
        <f t="shared" ref="R88:AA88" si="17">B35</f>
        <v>2400</v>
      </c>
      <c r="S88" s="32">
        <f t="shared" si="17"/>
        <v>9500</v>
      </c>
      <c r="T88" s="32">
        <f t="shared" si="17"/>
        <v>14400</v>
      </c>
      <c r="U88" s="32">
        <f t="shared" si="17"/>
        <v>18700</v>
      </c>
      <c r="V88" s="32">
        <f t="shared" si="17"/>
        <v>24700</v>
      </c>
      <c r="W88" s="32">
        <f t="shared" si="17"/>
        <v>31600</v>
      </c>
      <c r="X88" s="32">
        <f t="shared" si="17"/>
        <v>39900</v>
      </c>
      <c r="Y88" s="32">
        <f t="shared" si="17"/>
        <v>49700</v>
      </c>
      <c r="Z88" s="32">
        <f t="shared" si="17"/>
        <v>64500</v>
      </c>
      <c r="AA88" s="32">
        <f t="shared" si="17"/>
        <v>113800</v>
      </c>
    </row>
    <row r="89" spans="1:27" x14ac:dyDescent="0.35">
      <c r="A89" s="8"/>
      <c r="Q89" s="6" t="s">
        <v>82</v>
      </c>
      <c r="R89" s="32">
        <f t="shared" ref="R89:AA89" si="18">B41</f>
        <v>2400</v>
      </c>
      <c r="S89" s="32">
        <f t="shared" si="18"/>
        <v>8929.89</v>
      </c>
      <c r="T89" s="32">
        <f t="shared" si="18"/>
        <v>13302.089480000001</v>
      </c>
      <c r="U89" s="32">
        <f t="shared" si="18"/>
        <v>17234.955480000001</v>
      </c>
      <c r="V89" s="32">
        <f t="shared" si="18"/>
        <v>21608.44512</v>
      </c>
      <c r="W89" s="32">
        <f t="shared" si="18"/>
        <v>25654.19112</v>
      </c>
      <c r="X89" s="32">
        <f t="shared" si="18"/>
        <v>30142.189920000001</v>
      </c>
      <c r="Y89" s="32">
        <f t="shared" si="18"/>
        <v>35138.033920000002</v>
      </c>
      <c r="Z89" s="32">
        <f t="shared" si="18"/>
        <v>42682.77792</v>
      </c>
      <c r="AA89" s="32">
        <f t="shared" si="18"/>
        <v>65792.6005</v>
      </c>
    </row>
    <row r="90" spans="1:27" x14ac:dyDescent="0.35">
      <c r="A90" s="8"/>
      <c r="Q90" s="6" t="s">
        <v>80</v>
      </c>
      <c r="R90" s="6" t="s">
        <v>123</v>
      </c>
      <c r="S90" s="6" t="s">
        <v>123</v>
      </c>
      <c r="T90" s="32">
        <f>D50</f>
        <v>14400</v>
      </c>
      <c r="U90" s="32">
        <f t="shared" ref="U90:Z90" si="19">E50</f>
        <v>18097.849999999999</v>
      </c>
      <c r="V90" s="32">
        <f t="shared" si="19"/>
        <v>22813.014940000001</v>
      </c>
      <c r="W90" s="32">
        <f t="shared" si="19"/>
        <v>28167.138940000001</v>
      </c>
      <c r="X90" s="32">
        <f t="shared" si="19"/>
        <v>32176.442940000001</v>
      </c>
      <c r="Y90" s="32">
        <f t="shared" si="19"/>
        <v>38026.65094</v>
      </c>
      <c r="Z90" s="32">
        <f t="shared" si="19"/>
        <v>46861.658940000001</v>
      </c>
      <c r="AA90" s="32" t="s">
        <v>123</v>
      </c>
    </row>
    <row r="91" spans="1:27" x14ac:dyDescent="0.35">
      <c r="A91" s="8"/>
      <c r="Q91" s="28"/>
      <c r="R91" s="29"/>
      <c r="S91" s="29"/>
      <c r="T91" s="29"/>
      <c r="U91" s="29"/>
      <c r="V91" s="29"/>
      <c r="W91" s="29"/>
      <c r="X91" s="29"/>
      <c r="Y91" s="29"/>
      <c r="Z91" s="29"/>
      <c r="AA91" s="29"/>
    </row>
    <row r="92" spans="1:27" x14ac:dyDescent="0.35">
      <c r="A92" s="8"/>
      <c r="Q92" s="29"/>
      <c r="R92" s="30"/>
      <c r="S92" s="30"/>
      <c r="T92" s="30"/>
      <c r="U92" s="30"/>
      <c r="V92" s="30"/>
      <c r="W92" s="30"/>
      <c r="X92" s="30"/>
      <c r="Y92" s="30"/>
      <c r="Z92" s="30"/>
      <c r="AA92" s="30"/>
    </row>
    <row r="93" spans="1:27" x14ac:dyDescent="0.35">
      <c r="A93" s="1"/>
      <c r="Q93" s="29"/>
      <c r="R93" s="30"/>
      <c r="S93" s="30"/>
      <c r="T93" s="30"/>
      <c r="U93" s="30"/>
      <c r="V93" s="30"/>
      <c r="W93" s="30"/>
      <c r="X93" s="30"/>
      <c r="Y93" s="30"/>
      <c r="Z93" s="30"/>
      <c r="AA93" s="30"/>
    </row>
    <row r="94" spans="1:27" x14ac:dyDescent="0.35">
      <c r="A94" s="9"/>
      <c r="Q94" s="29"/>
      <c r="R94" s="29"/>
      <c r="S94" s="29"/>
      <c r="T94" s="30"/>
      <c r="U94" s="30"/>
      <c r="V94" s="30"/>
      <c r="W94" s="30"/>
      <c r="X94" s="30"/>
      <c r="Y94" s="30"/>
      <c r="Z94" s="30"/>
      <c r="AA94" s="30"/>
    </row>
    <row r="96" spans="1:27" x14ac:dyDescent="0.35">
      <c r="B96" s="10"/>
      <c r="D96" s="11"/>
      <c r="F96" s="11"/>
      <c r="H96" s="11"/>
      <c r="J96" s="11"/>
    </row>
    <row r="97" spans="2:14" x14ac:dyDescent="0.35">
      <c r="C97" s="4"/>
      <c r="D97" s="4"/>
      <c r="E97" s="4"/>
      <c r="G97" s="4"/>
      <c r="I97" s="4"/>
    </row>
    <row r="98" spans="2:14" x14ac:dyDescent="0.35">
      <c r="C98" s="4"/>
      <c r="D98" s="4"/>
      <c r="E98" s="4"/>
      <c r="G98" s="4"/>
      <c r="I98" s="4"/>
    </row>
    <row r="101" spans="2:14" x14ac:dyDescent="0.35">
      <c r="B101" s="4"/>
      <c r="C101" s="4"/>
      <c r="D101" s="4"/>
      <c r="E101" s="4"/>
      <c r="F101" s="4"/>
      <c r="G101" s="4"/>
      <c r="H101" s="4"/>
      <c r="I101" s="4"/>
      <c r="J101" s="4"/>
      <c r="K101" s="4"/>
    </row>
    <row r="102" spans="2:14" x14ac:dyDescent="0.35">
      <c r="B102" s="4"/>
      <c r="C102" s="4"/>
      <c r="D102" s="4"/>
      <c r="E102" s="4"/>
      <c r="F102" s="4"/>
      <c r="G102" s="4"/>
      <c r="H102" s="4"/>
      <c r="I102" s="4"/>
      <c r="J102" s="4"/>
      <c r="K102" s="4"/>
      <c r="L102">
        <f>IF(L101&lt;M95,L96*L101,IF(L101&lt;O95,(L101-M95)*N96+M95*L96,IF(L101&lt;Q95,(L101-O95)*P96+(O95-M95)*N96+M95*L96,IF(L101&lt;S95,(L101-Q95)*R96+(Q95-O95)*P96+(O95-M95)*N96+M95*L96,(L101-S95)*T96+(S95-Q95)*R96+(Q95-O95)*P96+(O95-M95)*N96+M95*L96))))</f>
        <v>0</v>
      </c>
      <c r="M102" s="3"/>
      <c r="N102" s="3"/>
    </row>
    <row r="103" spans="2:14" x14ac:dyDescent="0.35">
      <c r="B103" s="4"/>
      <c r="C103" s="4"/>
      <c r="D103" s="4"/>
      <c r="E103" s="4"/>
      <c r="F103" s="4"/>
      <c r="G103" s="4"/>
      <c r="H103" s="4"/>
      <c r="I103" s="4"/>
      <c r="J103" s="4"/>
      <c r="K103" s="4"/>
      <c r="M103" s="3"/>
      <c r="N103" s="3"/>
    </row>
    <row r="104" spans="2:14" x14ac:dyDescent="0.35">
      <c r="B104" s="4"/>
      <c r="C104" s="4"/>
      <c r="D104" s="4"/>
      <c r="E104" s="4"/>
      <c r="F104" s="4"/>
      <c r="G104" s="4"/>
      <c r="H104" s="4"/>
      <c r="I104" s="4"/>
      <c r="J104" s="4"/>
      <c r="K104" s="4"/>
    </row>
    <row r="105" spans="2:14" x14ac:dyDescent="0.35">
      <c r="B105" s="4"/>
      <c r="C105" s="4"/>
      <c r="D105" s="4"/>
      <c r="E105" s="4"/>
      <c r="F105" s="4"/>
      <c r="G105" s="4"/>
      <c r="H105" s="4"/>
      <c r="I105" s="4"/>
      <c r="J105" s="4"/>
      <c r="K105" s="4"/>
    </row>
    <row r="106" spans="2:14" x14ac:dyDescent="0.35">
      <c r="B106" s="4"/>
      <c r="C106" s="4"/>
      <c r="D106" s="4"/>
      <c r="E106" s="4"/>
      <c r="F106" s="4"/>
      <c r="G106" s="4"/>
      <c r="H106" s="4"/>
      <c r="I106" s="4"/>
      <c r="J106" s="4"/>
      <c r="K106" s="4"/>
      <c r="L106" s="4"/>
    </row>
    <row r="107" spans="2:14" x14ac:dyDescent="0.35">
      <c r="C107" s="4"/>
      <c r="D107" s="4"/>
      <c r="E107" s="4"/>
      <c r="F107" s="4"/>
      <c r="G107" s="4"/>
      <c r="H107" s="4"/>
      <c r="I107" s="4"/>
      <c r="J107" s="4"/>
      <c r="K107" s="4"/>
    </row>
    <row r="109" spans="2:14" x14ac:dyDescent="0.35">
      <c r="D109" s="4"/>
      <c r="E109" s="4"/>
      <c r="F109" s="4"/>
      <c r="G109" s="4"/>
      <c r="H109" s="4"/>
      <c r="I109" s="4"/>
      <c r="J109" s="4"/>
    </row>
    <row r="110" spans="2:14" x14ac:dyDescent="0.35">
      <c r="D110" s="4"/>
      <c r="E110" s="4"/>
      <c r="F110" s="4"/>
      <c r="G110" s="4"/>
      <c r="H110" s="4"/>
      <c r="I110" s="4"/>
      <c r="J110" s="4"/>
      <c r="M110" s="3"/>
      <c r="N110" s="3"/>
    </row>
    <row r="111" spans="2:14" x14ac:dyDescent="0.35">
      <c r="D111" s="4"/>
      <c r="E111" s="4"/>
      <c r="F111" s="4"/>
      <c r="G111" s="4"/>
      <c r="H111" s="4"/>
      <c r="I111" s="4"/>
      <c r="J111" s="4"/>
    </row>
    <row r="112" spans="2:14" x14ac:dyDescent="0.35">
      <c r="I112" s="4"/>
      <c r="M112" s="3"/>
    </row>
    <row r="113" spans="1:16" s="14" customFormat="1" x14ac:dyDescent="0.35">
      <c r="A113" s="21"/>
      <c r="L113" s="12"/>
      <c r="M113" s="20"/>
    </row>
    <row r="114" spans="1:16" s="14" customFormat="1" x14ac:dyDescent="0.35">
      <c r="A114" s="21"/>
      <c r="L114" s="12"/>
      <c r="M114" s="20"/>
    </row>
    <row r="115" spans="1:16" x14ac:dyDescent="0.35">
      <c r="A115" s="41"/>
      <c r="B115" s="41"/>
      <c r="C115" s="41"/>
      <c r="D115" s="41"/>
      <c r="E115" s="41"/>
      <c r="F115" s="41"/>
      <c r="G115" s="41"/>
      <c r="H115" s="41"/>
      <c r="I115" s="41"/>
      <c r="J115" s="41"/>
      <c r="K115" s="41"/>
      <c r="L115" s="41"/>
    </row>
    <row r="116" spans="1:16" x14ac:dyDescent="0.35">
      <c r="A116" s="41"/>
      <c r="B116" s="41"/>
      <c r="C116" s="41"/>
      <c r="D116" s="41"/>
      <c r="E116" s="41"/>
      <c r="F116" s="41"/>
      <c r="G116" s="41"/>
      <c r="H116" s="41"/>
      <c r="I116" s="41"/>
      <c r="J116" s="41"/>
      <c r="K116" s="41"/>
      <c r="L116" s="40"/>
    </row>
    <row r="117" spans="1:16" x14ac:dyDescent="0.35">
      <c r="A117" s="41"/>
      <c r="B117" s="41"/>
      <c r="C117" s="41"/>
      <c r="D117" s="41"/>
      <c r="E117" s="41"/>
      <c r="F117" s="41"/>
      <c r="G117" s="41"/>
      <c r="H117" s="41"/>
      <c r="I117" s="41"/>
      <c r="J117" s="41"/>
      <c r="K117" s="41"/>
      <c r="L117" s="40"/>
    </row>
    <row r="118" spans="1:16" x14ac:dyDescent="0.35">
      <c r="A118" s="41"/>
      <c r="B118" s="41"/>
      <c r="C118" s="41"/>
      <c r="D118" s="41"/>
      <c r="E118" s="41"/>
      <c r="F118" s="41"/>
      <c r="G118" s="41"/>
      <c r="H118" s="41"/>
      <c r="I118" s="41"/>
      <c r="J118" s="41"/>
      <c r="K118" s="41"/>
      <c r="L118" s="40"/>
    </row>
    <row r="119" spans="1:16" x14ac:dyDescent="0.35">
      <c r="A119" s="41"/>
      <c r="B119" s="41"/>
      <c r="C119" s="41"/>
      <c r="D119" s="41"/>
      <c r="E119" s="41"/>
      <c r="F119" s="41"/>
      <c r="G119" s="41"/>
      <c r="H119" s="41"/>
      <c r="I119" s="41"/>
      <c r="J119" s="41"/>
      <c r="K119" s="41"/>
      <c r="L119" s="40"/>
    </row>
    <row r="122" spans="1:16" x14ac:dyDescent="0.35">
      <c r="B122" s="23"/>
      <c r="C122" s="23"/>
      <c r="D122" s="23"/>
      <c r="E122" s="23"/>
      <c r="F122" s="23"/>
      <c r="G122" s="23"/>
      <c r="H122" s="23"/>
      <c r="I122" s="23"/>
      <c r="J122" s="23"/>
      <c r="K122" s="23"/>
    </row>
    <row r="123" spans="1:16" x14ac:dyDescent="0.35">
      <c r="B123" s="23"/>
      <c r="C123" s="23"/>
      <c r="D123" s="23"/>
      <c r="E123" s="23"/>
      <c r="F123" s="23"/>
      <c r="G123" s="23"/>
      <c r="H123" s="23"/>
      <c r="I123" s="23"/>
      <c r="J123" s="23"/>
      <c r="K123" s="23"/>
    </row>
    <row r="124" spans="1:16" x14ac:dyDescent="0.35">
      <c r="A124" s="1"/>
      <c r="M124" s="1"/>
      <c r="N124" s="1"/>
      <c r="O124" s="1"/>
    </row>
    <row r="125" spans="1:16" x14ac:dyDescent="0.35">
      <c r="B125" s="4"/>
      <c r="C125" s="4"/>
      <c r="D125" s="4"/>
      <c r="E125" s="4"/>
      <c r="F125" s="4"/>
      <c r="G125" s="4"/>
      <c r="H125" s="36"/>
      <c r="I125" s="4"/>
      <c r="J125" s="4"/>
      <c r="K125" s="4"/>
      <c r="M125" s="3"/>
      <c r="N125" s="3"/>
      <c r="O125" s="3"/>
      <c r="P125" s="4"/>
    </row>
    <row r="126" spans="1:16" x14ac:dyDescent="0.35">
      <c r="D126" s="4"/>
      <c r="E126" s="4"/>
      <c r="F126" s="4"/>
      <c r="G126" s="4"/>
      <c r="H126" s="4"/>
      <c r="I126" s="4"/>
      <c r="J126" s="4"/>
      <c r="M126" s="3"/>
      <c r="N126" s="3"/>
      <c r="O126" s="3"/>
    </row>
    <row r="127" spans="1:16" x14ac:dyDescent="0.35">
      <c r="M127" s="3"/>
      <c r="N127" s="3"/>
      <c r="O127" s="3"/>
    </row>
    <row r="129" spans="1:13" x14ac:dyDescent="0.35">
      <c r="A129" s="1"/>
      <c r="M129" s="19"/>
    </row>
    <row r="130" spans="1:13" x14ac:dyDescent="0.35">
      <c r="B130" s="3"/>
      <c r="C130" s="3"/>
      <c r="D130" s="3"/>
      <c r="E130" s="3"/>
      <c r="F130" s="3"/>
      <c r="G130" s="3"/>
      <c r="H130" s="3"/>
      <c r="I130" s="3"/>
      <c r="J130" s="3"/>
      <c r="K130" s="3"/>
      <c r="M130" s="3"/>
    </row>
    <row r="131" spans="1:13" x14ac:dyDescent="0.35">
      <c r="B131" s="3"/>
      <c r="C131" s="3"/>
      <c r="D131" s="3"/>
      <c r="E131" s="3"/>
      <c r="F131" s="3"/>
      <c r="G131" s="3"/>
      <c r="H131" s="3"/>
      <c r="I131" s="3"/>
      <c r="J131" s="3"/>
      <c r="K131" s="3"/>
      <c r="M131" s="3"/>
    </row>
    <row r="132" spans="1:13" x14ac:dyDescent="0.35">
      <c r="B132" s="3"/>
      <c r="C132" s="3"/>
      <c r="D132" s="3"/>
      <c r="E132" s="3"/>
      <c r="F132" s="3"/>
      <c r="G132" s="3"/>
      <c r="H132" s="3"/>
      <c r="I132" s="3"/>
      <c r="J132" s="3"/>
      <c r="K132" s="3"/>
      <c r="M132" s="3"/>
    </row>
    <row r="133" spans="1:13" x14ac:dyDescent="0.35">
      <c r="M133" s="3"/>
    </row>
    <row r="134" spans="1:13" x14ac:dyDescent="0.35">
      <c r="B134" s="3"/>
      <c r="C134" s="3"/>
      <c r="D134" s="3"/>
      <c r="E134" s="3"/>
      <c r="F134" s="3"/>
      <c r="G134" s="3"/>
      <c r="H134" s="3"/>
      <c r="I134" s="3"/>
      <c r="J134" s="3"/>
      <c r="K134" s="3"/>
      <c r="M134" s="3"/>
    </row>
    <row r="135" spans="1:13" x14ac:dyDescent="0.35">
      <c r="M135" s="3"/>
    </row>
    <row r="136" spans="1:13" x14ac:dyDescent="0.35">
      <c r="B136" s="3"/>
      <c r="C136" s="3"/>
      <c r="D136" s="3"/>
      <c r="E136" s="3"/>
      <c r="F136" s="3"/>
      <c r="G136" s="3"/>
      <c r="H136" s="3"/>
      <c r="I136" s="3"/>
      <c r="J136" s="3"/>
      <c r="K136" s="3"/>
      <c r="M136" s="3"/>
    </row>
    <row r="139" spans="1:13" x14ac:dyDescent="0.35">
      <c r="A139" s="1"/>
    </row>
    <row r="140" spans="1:13" x14ac:dyDescent="0.35">
      <c r="B140" s="3"/>
    </row>
    <row r="141" spans="1:13" x14ac:dyDescent="0.35">
      <c r="B141" s="3"/>
    </row>
    <row r="142" spans="1:13" x14ac:dyDescent="0.35">
      <c r="B142" s="3"/>
    </row>
    <row r="143" spans="1:13" x14ac:dyDescent="0.35">
      <c r="B143" s="3"/>
      <c r="C143" s="15"/>
      <c r="D143" s="16"/>
    </row>
    <row r="146" spans="1:18" x14ac:dyDescent="0.35">
      <c r="A146" s="1"/>
    </row>
    <row r="147" spans="1:18" x14ac:dyDescent="0.35">
      <c r="B147" s="3"/>
      <c r="C147" s="3"/>
      <c r="D147" s="3"/>
      <c r="E147" s="3"/>
      <c r="F147" s="3"/>
      <c r="G147" s="3"/>
      <c r="H147" s="3"/>
      <c r="I147" s="3"/>
      <c r="J147" s="3"/>
      <c r="K147" s="3"/>
      <c r="N147" s="11"/>
      <c r="O147" s="11"/>
    </row>
    <row r="148" spans="1:18" x14ac:dyDescent="0.35">
      <c r="B148" s="3"/>
      <c r="C148" s="3"/>
      <c r="D148" s="3"/>
      <c r="E148" s="3"/>
      <c r="F148" s="3"/>
      <c r="G148" s="3"/>
      <c r="H148" s="3"/>
      <c r="I148" s="3"/>
      <c r="J148" s="3"/>
      <c r="K148" s="3"/>
      <c r="N148" s="11"/>
      <c r="O148" s="11"/>
    </row>
    <row r="149" spans="1:18" x14ac:dyDescent="0.35">
      <c r="B149" s="3"/>
      <c r="C149" s="3"/>
      <c r="D149" s="3"/>
      <c r="E149" s="3"/>
      <c r="F149" s="3"/>
      <c r="G149" s="3"/>
      <c r="H149" s="3"/>
      <c r="I149" s="3"/>
      <c r="J149" s="3"/>
      <c r="K149" s="3"/>
      <c r="N149" s="11"/>
      <c r="O149" s="11"/>
    </row>
    <row r="152" spans="1:18" x14ac:dyDescent="0.35">
      <c r="A152" s="1"/>
      <c r="R152" t="s">
        <v>133</v>
      </c>
    </row>
    <row r="153" spans="1:18" x14ac:dyDescent="0.35">
      <c r="M153" s="37"/>
      <c r="N153" s="38"/>
      <c r="O153" s="39"/>
      <c r="P153" s="37"/>
      <c r="Q153" s="38"/>
      <c r="R153" s="39">
        <f>F162</f>
        <v>0</v>
      </c>
    </row>
    <row r="154" spans="1:18" x14ac:dyDescent="0.35">
      <c r="B154" s="4"/>
      <c r="C154" s="4"/>
      <c r="D154" s="4"/>
      <c r="E154" s="4"/>
      <c r="M154" s="37"/>
      <c r="N154" s="38"/>
      <c r="O154" s="39"/>
      <c r="P154" s="37"/>
      <c r="Q154" s="38"/>
      <c r="R154" s="39">
        <f>F162</f>
        <v>0</v>
      </c>
    </row>
    <row r="155" spans="1:18" s="17" customFormat="1" x14ac:dyDescent="0.35">
      <c r="B155" s="24"/>
      <c r="C155" s="24"/>
      <c r="D155" s="24"/>
      <c r="E155" s="24"/>
      <c r="M155" s="37"/>
      <c r="N155" s="38"/>
      <c r="O155" s="39"/>
      <c r="P155" s="37"/>
      <c r="Q155" s="38"/>
      <c r="R155" s="39">
        <f>D162</f>
        <v>0</v>
      </c>
    </row>
    <row r="156" spans="1:18" x14ac:dyDescent="0.35">
      <c r="F156" s="9"/>
      <c r="M156" s="37"/>
      <c r="N156" s="38"/>
      <c r="O156" s="39"/>
      <c r="P156" s="37"/>
      <c r="Q156" s="38"/>
      <c r="R156" s="39">
        <f>E162</f>
        <v>0</v>
      </c>
    </row>
    <row r="158" spans="1:18" x14ac:dyDescent="0.35">
      <c r="B158" s="4"/>
      <c r="C158" s="4"/>
      <c r="D158" s="4"/>
      <c r="E158" s="4"/>
      <c r="F158" s="4"/>
    </row>
    <row r="159" spans="1:18" x14ac:dyDescent="0.35">
      <c r="B159" s="4"/>
      <c r="C159" s="4"/>
      <c r="D159" s="4"/>
      <c r="E159" s="4"/>
      <c r="F159" s="4"/>
    </row>
    <row r="160" spans="1:18" x14ac:dyDescent="0.35">
      <c r="B160" s="4"/>
      <c r="C160" s="4"/>
      <c r="D160" s="4"/>
      <c r="E160" s="4"/>
      <c r="F160" s="4"/>
    </row>
    <row r="161" spans="1:6" x14ac:dyDescent="0.35">
      <c r="B161" s="4"/>
      <c r="C161" s="4"/>
      <c r="D161" s="4"/>
      <c r="E161" s="4"/>
      <c r="F161" s="4"/>
    </row>
    <row r="162" spans="1:6" x14ac:dyDescent="0.35">
      <c r="D162" s="4"/>
      <c r="E162" s="4"/>
      <c r="F162" s="4"/>
    </row>
    <row r="163" spans="1:6" x14ac:dyDescent="0.35">
      <c r="A163" s="17"/>
      <c r="B163" s="17"/>
      <c r="C163" s="25"/>
      <c r="D163" s="25"/>
      <c r="E163" s="25"/>
      <c r="F163" s="25"/>
    </row>
  </sheetData>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03DC-A392-4A6F-8297-745C44AE4400}">
  <dimension ref="A1:T68"/>
  <sheetViews>
    <sheetView topLeftCell="A25" workbookViewId="0">
      <selection activeCell="H30" sqref="H30"/>
    </sheetView>
  </sheetViews>
  <sheetFormatPr defaultRowHeight="14.5" x14ac:dyDescent="0.35"/>
  <cols>
    <col min="6" max="6" width="16.7265625" bestFit="1" customWidth="1"/>
    <col min="18" max="18" width="23.54296875" customWidth="1"/>
  </cols>
  <sheetData>
    <row r="1" spans="1:20" x14ac:dyDescent="0.35">
      <c r="A1" t="s">
        <v>142</v>
      </c>
    </row>
    <row r="2" spans="1:20" x14ac:dyDescent="0.35">
      <c r="A2" t="s">
        <v>143</v>
      </c>
      <c r="N2" t="s">
        <v>148</v>
      </c>
    </row>
    <row r="3" spans="1:20" x14ac:dyDescent="0.35">
      <c r="A3" t="s">
        <v>147</v>
      </c>
      <c r="B3" t="s">
        <v>144</v>
      </c>
      <c r="C3" t="s">
        <v>145</v>
      </c>
      <c r="D3" t="s">
        <v>146</v>
      </c>
      <c r="E3" t="s">
        <v>144</v>
      </c>
      <c r="F3" t="s">
        <v>145</v>
      </c>
      <c r="G3" t="s">
        <v>149</v>
      </c>
      <c r="N3" t="s">
        <v>147</v>
      </c>
      <c r="O3" t="s">
        <v>144</v>
      </c>
      <c r="P3" t="s">
        <v>145</v>
      </c>
      <c r="Q3" t="s">
        <v>146</v>
      </c>
      <c r="R3" t="s">
        <v>144</v>
      </c>
      <c r="S3" t="s">
        <v>145</v>
      </c>
      <c r="T3" t="s">
        <v>149</v>
      </c>
    </row>
    <row r="5" spans="1:20" x14ac:dyDescent="0.35">
      <c r="A5">
        <v>12600</v>
      </c>
      <c r="N5">
        <v>12600</v>
      </c>
    </row>
    <row r="6" spans="1:20" x14ac:dyDescent="0.35">
      <c r="A6">
        <v>14600</v>
      </c>
      <c r="B6">
        <f>A6-A5</f>
        <v>2000</v>
      </c>
      <c r="C6" s="16">
        <f>(B6/A5)*100</f>
        <v>15.873015873015872</v>
      </c>
      <c r="D6">
        <v>100</v>
      </c>
      <c r="E6">
        <f>D6-D5</f>
        <v>100</v>
      </c>
      <c r="F6" t="e">
        <f>(E6/D5)*100</f>
        <v>#DIV/0!</v>
      </c>
      <c r="N6">
        <f>$N$5+0.7*(A6-$N$5)</f>
        <v>14000</v>
      </c>
      <c r="O6">
        <f>N6-N5</f>
        <v>1400</v>
      </c>
      <c r="P6" s="16">
        <f>(O6/N5)*100</f>
        <v>11.111111111111111</v>
      </c>
      <c r="Q6">
        <v>100</v>
      </c>
      <c r="R6">
        <f>Q6-Q5</f>
        <v>100</v>
      </c>
      <c r="S6" t="e">
        <f>(R6/Q5)*100</f>
        <v>#DIV/0!</v>
      </c>
    </row>
    <row r="7" spans="1:20" x14ac:dyDescent="0.35">
      <c r="A7">
        <v>16600</v>
      </c>
      <c r="B7">
        <f t="shared" ref="B7:B21" si="0">A7-A6</f>
        <v>2000</v>
      </c>
      <c r="C7" s="16">
        <f t="shared" ref="C7:C21" si="1">(B7/A6)*100</f>
        <v>13.698630136986301</v>
      </c>
      <c r="D7">
        <v>200</v>
      </c>
      <c r="E7">
        <f t="shared" ref="E7:E21" si="2">D7-D6</f>
        <v>100</v>
      </c>
      <c r="F7" s="16">
        <f t="shared" ref="F7:F21" si="3">(E7/D6)*100</f>
        <v>100</v>
      </c>
      <c r="G7" s="16">
        <f>F7/C7</f>
        <v>7.3</v>
      </c>
      <c r="N7">
        <f>$N$5+0.7*(A7-$N$5)</f>
        <v>15400</v>
      </c>
      <c r="O7">
        <f t="shared" ref="O7:O21" si="4">N7-N6</f>
        <v>1400</v>
      </c>
      <c r="P7" s="16">
        <f t="shared" ref="P7:P21" si="5">(O7/N6)*100</f>
        <v>10</v>
      </c>
      <c r="Q7">
        <v>200</v>
      </c>
      <c r="R7">
        <f t="shared" ref="R7:R21" si="6">Q7-Q6</f>
        <v>100</v>
      </c>
      <c r="S7" s="16">
        <f>(R7/Q7)*100</f>
        <v>50</v>
      </c>
      <c r="T7" s="16">
        <f>S7/P7</f>
        <v>5</v>
      </c>
    </row>
    <row r="8" spans="1:20" x14ac:dyDescent="0.35">
      <c r="A8">
        <v>18600</v>
      </c>
      <c r="B8">
        <f t="shared" si="0"/>
        <v>2000</v>
      </c>
      <c r="C8" s="16">
        <f t="shared" si="1"/>
        <v>12.048192771084338</v>
      </c>
      <c r="D8">
        <v>300</v>
      </c>
      <c r="E8">
        <f t="shared" si="2"/>
        <v>100</v>
      </c>
      <c r="F8" s="16">
        <f t="shared" si="3"/>
        <v>50</v>
      </c>
      <c r="G8" s="16">
        <f t="shared" ref="G8:G21" si="7">F8/C8</f>
        <v>4.1499999999999995</v>
      </c>
      <c r="N8">
        <f>$N$5+0.7*(A8-$N$5)</f>
        <v>16800</v>
      </c>
      <c r="O8">
        <f t="shared" si="4"/>
        <v>1400</v>
      </c>
      <c r="P8" s="16">
        <f t="shared" si="5"/>
        <v>9.0909090909090917</v>
      </c>
      <c r="Q8">
        <v>300</v>
      </c>
      <c r="R8">
        <f t="shared" si="6"/>
        <v>100</v>
      </c>
      <c r="S8" s="16">
        <f t="shared" ref="S8:S21" si="8">(R8/Q8)*100</f>
        <v>33.333333333333329</v>
      </c>
      <c r="T8" s="16">
        <f t="shared" ref="T8:T21" si="9">S8/P8</f>
        <v>3.6666666666666656</v>
      </c>
    </row>
    <row r="9" spans="1:20" x14ac:dyDescent="0.35">
      <c r="A9">
        <v>20600</v>
      </c>
      <c r="B9">
        <f t="shared" si="0"/>
        <v>2000</v>
      </c>
      <c r="C9" s="16">
        <f t="shared" si="1"/>
        <v>10.75268817204301</v>
      </c>
      <c r="D9">
        <v>400</v>
      </c>
      <c r="E9">
        <f t="shared" si="2"/>
        <v>100</v>
      </c>
      <c r="F9" s="16">
        <f t="shared" si="3"/>
        <v>33.333333333333329</v>
      </c>
      <c r="G9" s="16">
        <f t="shared" si="7"/>
        <v>3.0999999999999996</v>
      </c>
      <c r="N9">
        <f>$N$5+0.7*(20000-$N$5)+0.5*(A9-20000)</f>
        <v>18080</v>
      </c>
      <c r="O9">
        <f t="shared" si="4"/>
        <v>1280</v>
      </c>
      <c r="P9" s="16">
        <f t="shared" si="5"/>
        <v>7.6190476190476195</v>
      </c>
      <c r="Q9">
        <v>400</v>
      </c>
      <c r="R9">
        <f t="shared" si="6"/>
        <v>100</v>
      </c>
      <c r="S9" s="16">
        <f t="shared" si="8"/>
        <v>25</v>
      </c>
      <c r="T9" s="16">
        <f t="shared" si="9"/>
        <v>3.28125</v>
      </c>
    </row>
    <row r="10" spans="1:20" x14ac:dyDescent="0.35">
      <c r="A10">
        <v>22600</v>
      </c>
      <c r="B10">
        <f t="shared" si="0"/>
        <v>2000</v>
      </c>
      <c r="C10" s="16">
        <f t="shared" si="1"/>
        <v>9.7087378640776691</v>
      </c>
      <c r="D10">
        <v>500</v>
      </c>
      <c r="E10">
        <f t="shared" si="2"/>
        <v>100</v>
      </c>
      <c r="F10" s="16">
        <f t="shared" si="3"/>
        <v>25</v>
      </c>
      <c r="G10" s="16">
        <f t="shared" si="7"/>
        <v>2.5750000000000002</v>
      </c>
      <c r="N10">
        <f t="shared" ref="N10:N21" si="10">$N$5+0.7*(20000-$N$5)+0.5*(A10-20000)</f>
        <v>19080</v>
      </c>
      <c r="O10">
        <f t="shared" si="4"/>
        <v>1000</v>
      </c>
      <c r="P10" s="16">
        <f t="shared" si="5"/>
        <v>5.5309734513274336</v>
      </c>
      <c r="Q10">
        <v>500</v>
      </c>
      <c r="R10">
        <f t="shared" si="6"/>
        <v>100</v>
      </c>
      <c r="S10" s="16">
        <f t="shared" si="8"/>
        <v>20</v>
      </c>
      <c r="T10" s="16">
        <f t="shared" si="9"/>
        <v>3.6160000000000001</v>
      </c>
    </row>
    <row r="11" spans="1:20" x14ac:dyDescent="0.35">
      <c r="A11">
        <v>24600</v>
      </c>
      <c r="B11">
        <f t="shared" si="0"/>
        <v>2000</v>
      </c>
      <c r="C11" s="16">
        <f t="shared" si="1"/>
        <v>8.8495575221238933</v>
      </c>
      <c r="D11">
        <v>600</v>
      </c>
      <c r="E11">
        <f t="shared" si="2"/>
        <v>100</v>
      </c>
      <c r="F11" s="16">
        <f t="shared" si="3"/>
        <v>20</v>
      </c>
      <c r="G11" s="16">
        <f t="shared" si="7"/>
        <v>2.2600000000000002</v>
      </c>
      <c r="N11">
        <f t="shared" si="10"/>
        <v>20080</v>
      </c>
      <c r="O11">
        <f t="shared" si="4"/>
        <v>1000</v>
      </c>
      <c r="P11" s="16">
        <f t="shared" si="5"/>
        <v>5.2410901467505235</v>
      </c>
      <c r="Q11">
        <v>600</v>
      </c>
      <c r="R11">
        <f t="shared" si="6"/>
        <v>100</v>
      </c>
      <c r="S11" s="16">
        <f t="shared" si="8"/>
        <v>16.666666666666664</v>
      </c>
      <c r="T11" s="16">
        <f t="shared" si="9"/>
        <v>3.1799999999999997</v>
      </c>
    </row>
    <row r="12" spans="1:20" x14ac:dyDescent="0.35">
      <c r="A12">
        <v>26600</v>
      </c>
      <c r="B12">
        <f t="shared" si="0"/>
        <v>2000</v>
      </c>
      <c r="C12" s="16">
        <f t="shared" si="1"/>
        <v>8.1300813008130071</v>
      </c>
      <c r="D12">
        <v>700</v>
      </c>
      <c r="E12">
        <f t="shared" si="2"/>
        <v>100</v>
      </c>
      <c r="F12" s="16">
        <f t="shared" si="3"/>
        <v>16.666666666666664</v>
      </c>
      <c r="G12" s="16">
        <f t="shared" si="7"/>
        <v>2.0499999999999998</v>
      </c>
      <c r="N12">
        <f t="shared" si="10"/>
        <v>21080</v>
      </c>
      <c r="O12">
        <f t="shared" si="4"/>
        <v>1000</v>
      </c>
      <c r="P12" s="16">
        <f t="shared" si="5"/>
        <v>4.9800796812749004</v>
      </c>
      <c r="Q12">
        <v>700</v>
      </c>
      <c r="R12">
        <f t="shared" si="6"/>
        <v>100</v>
      </c>
      <c r="S12" s="16">
        <f t="shared" si="8"/>
        <v>14.285714285714285</v>
      </c>
      <c r="T12" s="16">
        <f t="shared" si="9"/>
        <v>2.8685714285714283</v>
      </c>
    </row>
    <row r="13" spans="1:20" x14ac:dyDescent="0.35">
      <c r="A13">
        <v>28600</v>
      </c>
      <c r="B13">
        <f t="shared" si="0"/>
        <v>2000</v>
      </c>
      <c r="C13" s="16">
        <f t="shared" si="1"/>
        <v>7.518796992481203</v>
      </c>
      <c r="D13">
        <v>800</v>
      </c>
      <c r="E13">
        <f t="shared" si="2"/>
        <v>100</v>
      </c>
      <c r="F13" s="16">
        <f t="shared" si="3"/>
        <v>14.285714285714285</v>
      </c>
      <c r="G13" s="16">
        <f t="shared" si="7"/>
        <v>1.9</v>
      </c>
      <c r="N13">
        <f t="shared" si="10"/>
        <v>22080</v>
      </c>
      <c r="O13">
        <f t="shared" si="4"/>
        <v>1000</v>
      </c>
      <c r="P13" s="16">
        <f t="shared" si="5"/>
        <v>4.7438330170777991</v>
      </c>
      <c r="Q13">
        <v>800</v>
      </c>
      <c r="R13">
        <f t="shared" si="6"/>
        <v>100</v>
      </c>
      <c r="S13" s="16">
        <f t="shared" si="8"/>
        <v>12.5</v>
      </c>
      <c r="T13" s="16">
        <f t="shared" si="9"/>
        <v>2.6349999999999998</v>
      </c>
    </row>
    <row r="14" spans="1:20" x14ac:dyDescent="0.35">
      <c r="A14">
        <v>30600</v>
      </c>
      <c r="B14">
        <f t="shared" si="0"/>
        <v>2000</v>
      </c>
      <c r="C14" s="16">
        <f t="shared" si="1"/>
        <v>6.9930069930069934</v>
      </c>
      <c r="D14">
        <v>900</v>
      </c>
      <c r="E14">
        <f t="shared" si="2"/>
        <v>100</v>
      </c>
      <c r="F14" s="16">
        <f t="shared" si="3"/>
        <v>12.5</v>
      </c>
      <c r="G14" s="16">
        <f t="shared" si="7"/>
        <v>1.7874999999999999</v>
      </c>
      <c r="N14">
        <f t="shared" si="10"/>
        <v>23080</v>
      </c>
      <c r="O14">
        <f t="shared" si="4"/>
        <v>1000</v>
      </c>
      <c r="P14" s="16">
        <f t="shared" si="5"/>
        <v>4.5289855072463769</v>
      </c>
      <c r="Q14">
        <v>900</v>
      </c>
      <c r="R14">
        <f t="shared" si="6"/>
        <v>100</v>
      </c>
      <c r="S14" s="16">
        <f t="shared" si="8"/>
        <v>11.111111111111111</v>
      </c>
      <c r="T14" s="16">
        <f t="shared" si="9"/>
        <v>2.4533333333333331</v>
      </c>
    </row>
    <row r="15" spans="1:20" x14ac:dyDescent="0.35">
      <c r="A15">
        <v>32600</v>
      </c>
      <c r="B15">
        <f t="shared" si="0"/>
        <v>2000</v>
      </c>
      <c r="C15" s="16">
        <f t="shared" si="1"/>
        <v>6.5359477124183014</v>
      </c>
      <c r="D15">
        <v>1000</v>
      </c>
      <c r="E15">
        <f t="shared" si="2"/>
        <v>100</v>
      </c>
      <c r="F15" s="16">
        <f t="shared" si="3"/>
        <v>11.111111111111111</v>
      </c>
      <c r="G15" s="16">
        <f t="shared" si="7"/>
        <v>1.6999999999999997</v>
      </c>
      <c r="N15">
        <f t="shared" si="10"/>
        <v>24080</v>
      </c>
      <c r="O15">
        <f t="shared" si="4"/>
        <v>1000</v>
      </c>
      <c r="P15" s="16">
        <f t="shared" si="5"/>
        <v>4.3327556325823222</v>
      </c>
      <c r="Q15">
        <v>1000</v>
      </c>
      <c r="R15">
        <f t="shared" si="6"/>
        <v>100</v>
      </c>
      <c r="S15" s="16">
        <f t="shared" si="8"/>
        <v>10</v>
      </c>
      <c r="T15" s="16">
        <f t="shared" si="9"/>
        <v>2.3080000000000003</v>
      </c>
    </row>
    <row r="16" spans="1:20" x14ac:dyDescent="0.35">
      <c r="A16">
        <v>34600</v>
      </c>
      <c r="B16">
        <f t="shared" si="0"/>
        <v>2000</v>
      </c>
      <c r="C16" s="16">
        <f t="shared" si="1"/>
        <v>6.1349693251533743</v>
      </c>
      <c r="D16">
        <v>1100</v>
      </c>
      <c r="E16">
        <f t="shared" si="2"/>
        <v>100</v>
      </c>
      <c r="F16" s="16">
        <f t="shared" si="3"/>
        <v>10</v>
      </c>
      <c r="G16" s="16">
        <f t="shared" si="7"/>
        <v>1.63</v>
      </c>
      <c r="N16">
        <f t="shared" si="10"/>
        <v>25080</v>
      </c>
      <c r="O16">
        <f t="shared" si="4"/>
        <v>1000</v>
      </c>
      <c r="P16" s="16">
        <f t="shared" si="5"/>
        <v>4.1528239202657806</v>
      </c>
      <c r="Q16">
        <v>1100</v>
      </c>
      <c r="R16">
        <f t="shared" si="6"/>
        <v>100</v>
      </c>
      <c r="S16" s="16">
        <f t="shared" si="8"/>
        <v>9.0909090909090917</v>
      </c>
      <c r="T16" s="16">
        <f t="shared" si="9"/>
        <v>2.1890909090909094</v>
      </c>
    </row>
    <row r="17" spans="1:20" x14ac:dyDescent="0.35">
      <c r="A17">
        <v>36600</v>
      </c>
      <c r="B17">
        <f t="shared" si="0"/>
        <v>2000</v>
      </c>
      <c r="C17" s="16">
        <f t="shared" si="1"/>
        <v>5.7803468208092488</v>
      </c>
      <c r="D17">
        <v>1200</v>
      </c>
      <c r="E17">
        <f t="shared" si="2"/>
        <v>100</v>
      </c>
      <c r="F17" s="16">
        <f t="shared" si="3"/>
        <v>9.0909090909090917</v>
      </c>
      <c r="G17" s="16">
        <f t="shared" si="7"/>
        <v>1.5727272727272728</v>
      </c>
      <c r="N17">
        <f t="shared" si="10"/>
        <v>26080</v>
      </c>
      <c r="O17">
        <f t="shared" si="4"/>
        <v>1000</v>
      </c>
      <c r="P17" s="16">
        <f t="shared" si="5"/>
        <v>3.9872408293460926</v>
      </c>
      <c r="Q17">
        <v>1200</v>
      </c>
      <c r="R17">
        <f t="shared" si="6"/>
        <v>100</v>
      </c>
      <c r="S17" s="16">
        <f t="shared" si="8"/>
        <v>8.3333333333333321</v>
      </c>
      <c r="T17" s="16">
        <f t="shared" si="9"/>
        <v>2.09</v>
      </c>
    </row>
    <row r="18" spans="1:20" x14ac:dyDescent="0.35">
      <c r="A18">
        <v>38600</v>
      </c>
      <c r="B18">
        <f t="shared" si="0"/>
        <v>2000</v>
      </c>
      <c r="C18" s="16">
        <f t="shared" si="1"/>
        <v>5.4644808743169397</v>
      </c>
      <c r="D18">
        <v>1300</v>
      </c>
      <c r="E18">
        <f t="shared" si="2"/>
        <v>100</v>
      </c>
      <c r="F18" s="16">
        <f t="shared" si="3"/>
        <v>8.3333333333333321</v>
      </c>
      <c r="G18" s="16">
        <f t="shared" si="7"/>
        <v>1.5249999999999999</v>
      </c>
      <c r="N18">
        <f t="shared" si="10"/>
        <v>27080</v>
      </c>
      <c r="O18">
        <f t="shared" si="4"/>
        <v>1000</v>
      </c>
      <c r="P18" s="16">
        <f t="shared" si="5"/>
        <v>3.834355828220859</v>
      </c>
      <c r="Q18">
        <v>1300</v>
      </c>
      <c r="R18">
        <f t="shared" si="6"/>
        <v>100</v>
      </c>
      <c r="S18" s="16">
        <f t="shared" si="8"/>
        <v>7.6923076923076925</v>
      </c>
      <c r="T18" s="16">
        <f t="shared" si="9"/>
        <v>2.006153846153846</v>
      </c>
    </row>
    <row r="19" spans="1:20" x14ac:dyDescent="0.35">
      <c r="A19">
        <v>40600</v>
      </c>
      <c r="B19">
        <f t="shared" si="0"/>
        <v>2000</v>
      </c>
      <c r="C19" s="16">
        <f t="shared" si="1"/>
        <v>5.1813471502590671</v>
      </c>
      <c r="D19">
        <v>1400</v>
      </c>
      <c r="E19">
        <f t="shared" si="2"/>
        <v>100</v>
      </c>
      <c r="F19" s="16">
        <f t="shared" si="3"/>
        <v>7.6923076923076925</v>
      </c>
      <c r="G19" s="16">
        <f t="shared" si="7"/>
        <v>1.4846153846153847</v>
      </c>
      <c r="N19">
        <f t="shared" si="10"/>
        <v>28080</v>
      </c>
      <c r="O19">
        <f t="shared" si="4"/>
        <v>1000</v>
      </c>
      <c r="P19" s="16">
        <f t="shared" si="5"/>
        <v>3.6927621861152145</v>
      </c>
      <c r="Q19">
        <v>1400</v>
      </c>
      <c r="R19">
        <f t="shared" si="6"/>
        <v>100</v>
      </c>
      <c r="S19" s="16">
        <f t="shared" si="8"/>
        <v>7.1428571428571423</v>
      </c>
      <c r="T19" s="16">
        <f t="shared" si="9"/>
        <v>1.9342857142857139</v>
      </c>
    </row>
    <row r="20" spans="1:20" x14ac:dyDescent="0.35">
      <c r="A20">
        <v>42600</v>
      </c>
      <c r="B20">
        <f t="shared" si="0"/>
        <v>2000</v>
      </c>
      <c r="C20" s="16">
        <f t="shared" si="1"/>
        <v>4.9261083743842367</v>
      </c>
      <c r="D20">
        <v>1500</v>
      </c>
      <c r="E20">
        <f t="shared" si="2"/>
        <v>100</v>
      </c>
      <c r="F20" s="16">
        <f t="shared" si="3"/>
        <v>7.1428571428571423</v>
      </c>
      <c r="G20" s="16">
        <f t="shared" si="7"/>
        <v>1.4499999999999997</v>
      </c>
      <c r="N20">
        <f t="shared" si="10"/>
        <v>29080</v>
      </c>
      <c r="O20">
        <f t="shared" si="4"/>
        <v>1000</v>
      </c>
      <c r="P20" s="16">
        <f t="shared" si="5"/>
        <v>3.5612535612535612</v>
      </c>
      <c r="Q20">
        <v>1500</v>
      </c>
      <c r="R20">
        <f t="shared" si="6"/>
        <v>100</v>
      </c>
      <c r="S20" s="16">
        <f t="shared" si="8"/>
        <v>6.666666666666667</v>
      </c>
      <c r="T20" s="16">
        <f t="shared" si="9"/>
        <v>1.8720000000000001</v>
      </c>
    </row>
    <row r="21" spans="1:20" x14ac:dyDescent="0.35">
      <c r="A21">
        <v>44600</v>
      </c>
      <c r="B21">
        <f t="shared" si="0"/>
        <v>2000</v>
      </c>
      <c r="C21" s="16">
        <f t="shared" si="1"/>
        <v>4.6948356807511731</v>
      </c>
      <c r="D21">
        <v>1600</v>
      </c>
      <c r="E21">
        <f t="shared" si="2"/>
        <v>100</v>
      </c>
      <c r="F21" s="16">
        <f t="shared" si="3"/>
        <v>6.666666666666667</v>
      </c>
      <c r="G21" s="16">
        <f t="shared" si="7"/>
        <v>1.4200000000000002</v>
      </c>
      <c r="N21">
        <f t="shared" si="10"/>
        <v>30080</v>
      </c>
      <c r="O21">
        <f t="shared" si="4"/>
        <v>1000</v>
      </c>
      <c r="P21" s="16">
        <f t="shared" si="5"/>
        <v>3.4387895460797799</v>
      </c>
      <c r="Q21">
        <v>1600</v>
      </c>
      <c r="R21">
        <f t="shared" si="6"/>
        <v>100</v>
      </c>
      <c r="S21" s="16">
        <f t="shared" si="8"/>
        <v>6.25</v>
      </c>
      <c r="T21" s="16">
        <f t="shared" si="9"/>
        <v>1.8174999999999999</v>
      </c>
    </row>
    <row r="22" spans="1:20" x14ac:dyDescent="0.35">
      <c r="C22" s="16"/>
      <c r="F22" s="16"/>
      <c r="G22" s="16"/>
      <c r="L22" s="16"/>
      <c r="O22" s="16"/>
      <c r="P22" s="16"/>
    </row>
    <row r="23" spans="1:20" x14ac:dyDescent="0.35">
      <c r="F23" s="16"/>
      <c r="G23" s="16"/>
      <c r="L23" s="16"/>
      <c r="O23" s="16"/>
      <c r="P23" s="16"/>
    </row>
    <row r="24" spans="1:20" x14ac:dyDescent="0.35">
      <c r="A24" t="s">
        <v>146</v>
      </c>
      <c r="B24" t="s">
        <v>147</v>
      </c>
      <c r="C24" s="16" t="s">
        <v>149</v>
      </c>
      <c r="F24" s="16"/>
      <c r="G24" s="16"/>
      <c r="L24" s="16"/>
      <c r="N24" t="s">
        <v>146</v>
      </c>
      <c r="O24" s="16" t="s">
        <v>147</v>
      </c>
      <c r="P24" s="16" t="s">
        <v>149</v>
      </c>
    </row>
    <row r="25" spans="1:20" x14ac:dyDescent="0.35">
      <c r="C25" s="16"/>
      <c r="F25" s="16"/>
      <c r="G25" s="16"/>
      <c r="L25" s="16"/>
      <c r="O25" s="4">
        <f t="shared" ref="O25:O41" si="11">N5</f>
        <v>12600</v>
      </c>
      <c r="P25" s="16"/>
    </row>
    <row r="26" spans="1:20" x14ac:dyDescent="0.35">
      <c r="C26" s="16"/>
      <c r="F26" s="16"/>
      <c r="G26" s="16"/>
      <c r="L26" s="16"/>
      <c r="N26">
        <f t="shared" ref="N26:N41" si="12">Q6</f>
        <v>100</v>
      </c>
      <c r="O26" s="4">
        <f t="shared" si="11"/>
        <v>14000</v>
      </c>
      <c r="P26" s="16"/>
    </row>
    <row r="27" spans="1:20" x14ac:dyDescent="0.35">
      <c r="A27">
        <f t="shared" ref="A27:A41" si="13">D7</f>
        <v>200</v>
      </c>
      <c r="B27">
        <f t="shared" ref="B27:B41" si="14">A7</f>
        <v>16600</v>
      </c>
      <c r="C27" s="16">
        <f t="shared" ref="C27:C41" si="15">G7</f>
        <v>7.3</v>
      </c>
      <c r="F27" s="16"/>
      <c r="G27" s="16"/>
      <c r="L27" s="16"/>
      <c r="N27">
        <f t="shared" si="12"/>
        <v>200</v>
      </c>
      <c r="O27" s="4">
        <f t="shared" si="11"/>
        <v>15400</v>
      </c>
      <c r="P27" s="16">
        <f t="shared" ref="P27:P41" si="16">T7</f>
        <v>5</v>
      </c>
    </row>
    <row r="28" spans="1:20" x14ac:dyDescent="0.35">
      <c r="A28">
        <f t="shared" si="13"/>
        <v>300</v>
      </c>
      <c r="B28">
        <f t="shared" si="14"/>
        <v>18600</v>
      </c>
      <c r="C28" s="16">
        <f t="shared" si="15"/>
        <v>4.1499999999999995</v>
      </c>
      <c r="F28" s="16"/>
      <c r="G28" s="16"/>
      <c r="L28" s="16"/>
      <c r="N28">
        <f t="shared" si="12"/>
        <v>300</v>
      </c>
      <c r="O28" s="4">
        <f t="shared" si="11"/>
        <v>16800</v>
      </c>
      <c r="P28" s="16">
        <f t="shared" si="16"/>
        <v>3.6666666666666656</v>
      </c>
    </row>
    <row r="29" spans="1:20" x14ac:dyDescent="0.35">
      <c r="A29">
        <f t="shared" si="13"/>
        <v>400</v>
      </c>
      <c r="B29">
        <f t="shared" si="14"/>
        <v>20600</v>
      </c>
      <c r="C29" s="16">
        <f t="shared" si="15"/>
        <v>3.0999999999999996</v>
      </c>
      <c r="F29" s="16"/>
      <c r="G29" s="16"/>
      <c r="L29" s="16"/>
      <c r="N29">
        <f t="shared" si="12"/>
        <v>400</v>
      </c>
      <c r="O29" s="4">
        <f t="shared" si="11"/>
        <v>18080</v>
      </c>
      <c r="P29" s="16">
        <f t="shared" si="16"/>
        <v>3.28125</v>
      </c>
    </row>
    <row r="30" spans="1:20" x14ac:dyDescent="0.35">
      <c r="A30">
        <f t="shared" si="13"/>
        <v>500</v>
      </c>
      <c r="B30">
        <f t="shared" si="14"/>
        <v>22600</v>
      </c>
      <c r="C30" s="16">
        <f t="shared" si="15"/>
        <v>2.5750000000000002</v>
      </c>
      <c r="F30" s="16"/>
      <c r="G30" s="16"/>
      <c r="L30" s="16"/>
      <c r="N30">
        <f t="shared" si="12"/>
        <v>500</v>
      </c>
      <c r="O30" s="4">
        <f t="shared" si="11"/>
        <v>19080</v>
      </c>
      <c r="P30" s="16">
        <f t="shared" si="16"/>
        <v>3.6160000000000001</v>
      </c>
    </row>
    <row r="31" spans="1:20" x14ac:dyDescent="0.35">
      <c r="A31">
        <f t="shared" si="13"/>
        <v>600</v>
      </c>
      <c r="B31">
        <f t="shared" si="14"/>
        <v>24600</v>
      </c>
      <c r="C31" s="16">
        <f t="shared" si="15"/>
        <v>2.2600000000000002</v>
      </c>
      <c r="F31" s="16"/>
      <c r="G31" s="16"/>
      <c r="L31" s="16"/>
      <c r="N31">
        <f t="shared" si="12"/>
        <v>600</v>
      </c>
      <c r="O31" s="4">
        <f t="shared" si="11"/>
        <v>20080</v>
      </c>
      <c r="P31" s="16">
        <f t="shared" si="16"/>
        <v>3.1799999999999997</v>
      </c>
    </row>
    <row r="32" spans="1:20" x14ac:dyDescent="0.35">
      <c r="A32">
        <f t="shared" si="13"/>
        <v>700</v>
      </c>
      <c r="B32">
        <f t="shared" si="14"/>
        <v>26600</v>
      </c>
      <c r="C32" s="16">
        <f t="shared" si="15"/>
        <v>2.0499999999999998</v>
      </c>
      <c r="F32" s="16"/>
      <c r="G32" s="16"/>
      <c r="L32" s="16"/>
      <c r="N32">
        <f t="shared" si="12"/>
        <v>700</v>
      </c>
      <c r="O32" s="4">
        <f t="shared" si="11"/>
        <v>21080</v>
      </c>
      <c r="P32" s="16">
        <f t="shared" si="16"/>
        <v>2.8685714285714283</v>
      </c>
    </row>
    <row r="33" spans="1:16" x14ac:dyDescent="0.35">
      <c r="A33">
        <f t="shared" si="13"/>
        <v>800</v>
      </c>
      <c r="B33">
        <f t="shared" si="14"/>
        <v>28600</v>
      </c>
      <c r="C33" s="16">
        <f t="shared" si="15"/>
        <v>1.9</v>
      </c>
      <c r="F33" s="16"/>
      <c r="G33" s="16"/>
      <c r="L33" s="16"/>
      <c r="N33">
        <f t="shared" si="12"/>
        <v>800</v>
      </c>
      <c r="O33" s="4">
        <f t="shared" si="11"/>
        <v>22080</v>
      </c>
      <c r="P33" s="16">
        <f t="shared" si="16"/>
        <v>2.6349999999999998</v>
      </c>
    </row>
    <row r="34" spans="1:16" x14ac:dyDescent="0.35">
      <c r="A34">
        <f t="shared" si="13"/>
        <v>900</v>
      </c>
      <c r="B34">
        <f t="shared" si="14"/>
        <v>30600</v>
      </c>
      <c r="C34" s="16">
        <f t="shared" si="15"/>
        <v>1.7874999999999999</v>
      </c>
      <c r="F34" s="16"/>
      <c r="G34" s="16"/>
      <c r="L34" s="16"/>
      <c r="N34">
        <f t="shared" si="12"/>
        <v>900</v>
      </c>
      <c r="O34" s="4">
        <f t="shared" si="11"/>
        <v>23080</v>
      </c>
      <c r="P34" s="16">
        <f t="shared" si="16"/>
        <v>2.4533333333333331</v>
      </c>
    </row>
    <row r="35" spans="1:16" x14ac:dyDescent="0.35">
      <c r="A35">
        <f t="shared" si="13"/>
        <v>1000</v>
      </c>
      <c r="B35">
        <f t="shared" si="14"/>
        <v>32600</v>
      </c>
      <c r="C35">
        <f t="shared" si="15"/>
        <v>1.6999999999999997</v>
      </c>
      <c r="N35">
        <f t="shared" si="12"/>
        <v>1000</v>
      </c>
      <c r="O35" s="4">
        <f t="shared" si="11"/>
        <v>24080</v>
      </c>
      <c r="P35" s="16">
        <f t="shared" si="16"/>
        <v>2.3080000000000003</v>
      </c>
    </row>
    <row r="36" spans="1:16" x14ac:dyDescent="0.35">
      <c r="A36">
        <f t="shared" si="13"/>
        <v>1100</v>
      </c>
      <c r="B36">
        <f t="shared" si="14"/>
        <v>34600</v>
      </c>
      <c r="C36" s="16">
        <f t="shared" si="15"/>
        <v>1.63</v>
      </c>
      <c r="N36">
        <f t="shared" si="12"/>
        <v>1100</v>
      </c>
      <c r="O36" s="4">
        <f t="shared" si="11"/>
        <v>25080</v>
      </c>
      <c r="P36" s="16">
        <f t="shared" si="16"/>
        <v>2.1890909090909094</v>
      </c>
    </row>
    <row r="37" spans="1:16" x14ac:dyDescent="0.35">
      <c r="A37">
        <f t="shared" si="13"/>
        <v>1200</v>
      </c>
      <c r="B37">
        <f t="shared" si="14"/>
        <v>36600</v>
      </c>
      <c r="C37" s="16">
        <f t="shared" si="15"/>
        <v>1.5727272727272728</v>
      </c>
      <c r="N37">
        <f t="shared" si="12"/>
        <v>1200</v>
      </c>
      <c r="O37" s="4">
        <f t="shared" si="11"/>
        <v>26080</v>
      </c>
      <c r="P37" s="16">
        <f t="shared" si="16"/>
        <v>2.09</v>
      </c>
    </row>
    <row r="38" spans="1:16" x14ac:dyDescent="0.35">
      <c r="A38">
        <f t="shared" si="13"/>
        <v>1300</v>
      </c>
      <c r="B38">
        <f t="shared" si="14"/>
        <v>38600</v>
      </c>
      <c r="C38" s="16">
        <f t="shared" si="15"/>
        <v>1.5249999999999999</v>
      </c>
      <c r="N38">
        <f t="shared" si="12"/>
        <v>1300</v>
      </c>
      <c r="O38" s="4">
        <f t="shared" si="11"/>
        <v>27080</v>
      </c>
      <c r="P38" s="16">
        <f t="shared" si="16"/>
        <v>2.006153846153846</v>
      </c>
    </row>
    <row r="39" spans="1:16" x14ac:dyDescent="0.35">
      <c r="A39">
        <f t="shared" si="13"/>
        <v>1400</v>
      </c>
      <c r="B39">
        <f t="shared" si="14"/>
        <v>40600</v>
      </c>
      <c r="C39" s="16">
        <f t="shared" si="15"/>
        <v>1.4846153846153847</v>
      </c>
      <c r="N39">
        <f t="shared" si="12"/>
        <v>1400</v>
      </c>
      <c r="O39" s="4">
        <f t="shared" si="11"/>
        <v>28080</v>
      </c>
      <c r="P39" s="16">
        <f t="shared" si="16"/>
        <v>1.9342857142857139</v>
      </c>
    </row>
    <row r="40" spans="1:16" x14ac:dyDescent="0.35">
      <c r="A40">
        <f t="shared" si="13"/>
        <v>1500</v>
      </c>
      <c r="B40">
        <f t="shared" si="14"/>
        <v>42600</v>
      </c>
      <c r="C40" s="16">
        <f t="shared" si="15"/>
        <v>1.4499999999999997</v>
      </c>
      <c r="N40">
        <f t="shared" si="12"/>
        <v>1500</v>
      </c>
      <c r="O40" s="4">
        <f t="shared" si="11"/>
        <v>29080</v>
      </c>
      <c r="P40" s="16">
        <f t="shared" si="16"/>
        <v>1.8720000000000001</v>
      </c>
    </row>
    <row r="41" spans="1:16" x14ac:dyDescent="0.35">
      <c r="A41">
        <f t="shared" si="13"/>
        <v>1600</v>
      </c>
      <c r="B41">
        <f t="shared" si="14"/>
        <v>44600</v>
      </c>
      <c r="C41" s="16">
        <f t="shared" si="15"/>
        <v>1.4200000000000002</v>
      </c>
      <c r="N41">
        <f t="shared" si="12"/>
        <v>1600</v>
      </c>
      <c r="O41" s="4">
        <f t="shared" si="11"/>
        <v>30080</v>
      </c>
      <c r="P41" s="16">
        <f t="shared" si="16"/>
        <v>1.8174999999999999</v>
      </c>
    </row>
    <row r="58" spans="18:20" x14ac:dyDescent="0.35">
      <c r="S58" t="s">
        <v>2</v>
      </c>
      <c r="T58" t="s">
        <v>145</v>
      </c>
    </row>
    <row r="59" spans="18:20" x14ac:dyDescent="0.35">
      <c r="R59" t="str">
        <f>AONI!A12</f>
        <v>Huurtoeslag</v>
      </c>
      <c r="S59">
        <f>AONI!B12</f>
        <v>1400000</v>
      </c>
      <c r="T59" s="23">
        <f t="shared" ref="T59:T64" si="17">S59/$S$66</f>
        <v>0.13501452129395988</v>
      </c>
    </row>
    <row r="60" spans="18:20" x14ac:dyDescent="0.35">
      <c r="R60" t="str">
        <f>AONI!A13</f>
        <v>Zorgtoeslag</v>
      </c>
      <c r="S60">
        <f>AONI!B13</f>
        <v>4500000</v>
      </c>
      <c r="T60" s="23">
        <f t="shared" si="17"/>
        <v>0.43397524701629964</v>
      </c>
    </row>
    <row r="61" spans="18:20" x14ac:dyDescent="0.35">
      <c r="R61" t="str">
        <f>AONI!A14</f>
        <v>Kinderbijslag</v>
      </c>
      <c r="S61">
        <f>AONI!B14</f>
        <v>1870000</v>
      </c>
      <c r="T61" s="23">
        <f t="shared" si="17"/>
        <v>0.18034082487121786</v>
      </c>
    </row>
    <row r="62" spans="18:20" x14ac:dyDescent="0.35">
      <c r="R62" t="str">
        <f>AONI!A15</f>
        <v>Kindgebonden budget</v>
      </c>
      <c r="S62">
        <f>AONI!B15</f>
        <v>700000</v>
      </c>
      <c r="T62" s="23">
        <f t="shared" si="17"/>
        <v>6.7507260646979941E-2</v>
      </c>
    </row>
    <row r="63" spans="18:20" x14ac:dyDescent="0.35">
      <c r="R63" t="str">
        <f>AONI!A16</f>
        <v>Kinderopvangtoeslag</v>
      </c>
      <c r="S63">
        <f>AONI!B16</f>
        <v>600000</v>
      </c>
      <c r="T63" s="23">
        <f t="shared" si="17"/>
        <v>5.786336626883995E-2</v>
      </c>
    </row>
    <row r="64" spans="18:20" x14ac:dyDescent="0.35">
      <c r="R64" t="str">
        <f>AONI!A17</f>
        <v>Bijstandsuitkeringen</v>
      </c>
      <c r="S64">
        <f>AONI!B17</f>
        <v>400000</v>
      </c>
      <c r="T64" s="23">
        <f t="shared" si="17"/>
        <v>3.8575577512559966E-2</v>
      </c>
    </row>
    <row r="66" spans="18:19" x14ac:dyDescent="0.35">
      <c r="R66" t="s">
        <v>150</v>
      </c>
      <c r="S66" s="3">
        <f>AONI!B29</f>
        <v>10369255</v>
      </c>
    </row>
    <row r="68" spans="18:19" x14ac:dyDescent="0.35">
      <c r="S68" s="10"/>
    </row>
  </sheetData>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E829-D307-4C4F-835A-AF83C5B38719}">
  <dimension ref="A1:AA163"/>
  <sheetViews>
    <sheetView topLeftCell="A147" zoomScaleNormal="100" workbookViewId="0">
      <selection activeCell="B157" sqref="B157"/>
    </sheetView>
  </sheetViews>
  <sheetFormatPr defaultRowHeight="14.5" x14ac:dyDescent="0.35"/>
  <cols>
    <col min="1" max="1" width="38.453125" customWidth="1"/>
    <col min="2" max="2" width="16.7265625" bestFit="1" customWidth="1"/>
    <col min="3" max="3" width="9.453125" bestFit="1" customWidth="1"/>
    <col min="4" max="4" width="10.81640625" customWidth="1"/>
    <col min="7" max="7" width="9.453125" customWidth="1"/>
    <col min="12" max="12" width="14.26953125" bestFit="1" customWidth="1"/>
    <col min="13" max="13" width="33.453125" customWidth="1"/>
    <col min="14" max="15" width="13" bestFit="1" customWidth="1"/>
    <col min="17" max="17" width="35.7265625" customWidth="1"/>
    <col min="20" max="20" width="9.26953125" bestFit="1" customWidth="1"/>
    <col min="21" max="21" width="10.1796875" bestFit="1" customWidth="1"/>
    <col min="22" max="22" width="12.26953125" bestFit="1" customWidth="1"/>
    <col min="23" max="23" width="13.453125" bestFit="1" customWidth="1"/>
  </cols>
  <sheetData>
    <row r="1" spans="1:23" ht="21" x14ac:dyDescent="0.5">
      <c r="A1" s="2" t="s">
        <v>0</v>
      </c>
      <c r="B1" s="5"/>
    </row>
    <row r="2" spans="1:23" x14ac:dyDescent="0.35">
      <c r="Q2" t="s">
        <v>141</v>
      </c>
    </row>
    <row r="3" spans="1:23" x14ac:dyDescent="0.35">
      <c r="B3" t="s">
        <v>2</v>
      </c>
      <c r="C3" t="s">
        <v>3</v>
      </c>
      <c r="D3" t="s">
        <v>4</v>
      </c>
      <c r="E3" t="s">
        <v>57</v>
      </c>
      <c r="R3" t="s">
        <v>89</v>
      </c>
      <c r="S3" t="s">
        <v>90</v>
      </c>
      <c r="T3" t="s">
        <v>2</v>
      </c>
      <c r="U3" t="s">
        <v>91</v>
      </c>
      <c r="V3" t="s">
        <v>14</v>
      </c>
      <c r="W3" t="s">
        <v>57</v>
      </c>
    </row>
    <row r="4" spans="1:23" x14ac:dyDescent="0.35">
      <c r="A4" t="s">
        <v>1</v>
      </c>
      <c r="B4" s="3">
        <v>13490325</v>
      </c>
      <c r="C4">
        <f>12*1050</f>
        <v>12600</v>
      </c>
      <c r="D4">
        <f>0.05*C4</f>
        <v>630</v>
      </c>
      <c r="E4" s="3">
        <f>B4*(C4+D4)</f>
        <v>178476999750</v>
      </c>
      <c r="R4" t="s">
        <v>88</v>
      </c>
      <c r="S4" t="s">
        <v>88</v>
      </c>
      <c r="T4" t="s">
        <v>92</v>
      </c>
      <c r="U4" t="s">
        <v>93</v>
      </c>
      <c r="V4" t="s">
        <v>94</v>
      </c>
      <c r="W4" t="s">
        <v>94</v>
      </c>
    </row>
    <row r="5" spans="1:23" x14ac:dyDescent="0.35">
      <c r="A5" t="s">
        <v>54</v>
      </c>
      <c r="B5" s="3">
        <v>3791838</v>
      </c>
      <c r="C5">
        <v>1500</v>
      </c>
      <c r="D5">
        <f>0.05*1200</f>
        <v>60</v>
      </c>
      <c r="E5" s="3">
        <f>B5*(C5+D5)</f>
        <v>5915267280</v>
      </c>
      <c r="G5" s="3">
        <f>E4+E5</f>
        <v>184392267030</v>
      </c>
      <c r="Q5" t="str">
        <f t="shared" ref="Q5:Q12" si="0">A12</f>
        <v>Huurtoeslag</v>
      </c>
      <c r="R5" t="s">
        <v>83</v>
      </c>
      <c r="S5">
        <v>23225</v>
      </c>
      <c r="T5" s="18">
        <v>1.4</v>
      </c>
      <c r="U5" s="18">
        <v>85</v>
      </c>
      <c r="V5" s="18">
        <v>3.6</v>
      </c>
      <c r="W5" s="18">
        <v>3.69</v>
      </c>
    </row>
    <row r="6" spans="1:23" x14ac:dyDescent="0.35">
      <c r="A6" t="s">
        <v>7</v>
      </c>
      <c r="B6" s="3"/>
      <c r="E6" s="3">
        <f>0.15*E20</f>
        <v>4410300000</v>
      </c>
      <c r="Q6" t="str">
        <f t="shared" si="0"/>
        <v>Zorgtoeslag</v>
      </c>
      <c r="R6" t="s">
        <v>84</v>
      </c>
      <c r="S6">
        <v>30481</v>
      </c>
      <c r="T6" s="18">
        <v>4.5</v>
      </c>
      <c r="U6" s="18">
        <v>68</v>
      </c>
      <c r="V6" s="18">
        <v>4.7</v>
      </c>
      <c r="W6" s="18">
        <v>4.7699999999999996</v>
      </c>
    </row>
    <row r="7" spans="1:23" x14ac:dyDescent="0.35">
      <c r="A7" t="s">
        <v>56</v>
      </c>
      <c r="E7" s="3">
        <f>SUM(E4:E6)</f>
        <v>188802567030</v>
      </c>
      <c r="F7" t="s">
        <v>6</v>
      </c>
      <c r="M7" s="13">
        <f>E7</f>
        <v>188802567030</v>
      </c>
      <c r="Q7" t="str">
        <f t="shared" si="0"/>
        <v>Kinderbijslag</v>
      </c>
      <c r="R7" t="s">
        <v>85</v>
      </c>
      <c r="S7" t="s">
        <v>87</v>
      </c>
      <c r="T7" s="18">
        <v>1.87</v>
      </c>
      <c r="U7" s="18"/>
      <c r="V7" s="18">
        <v>3.3</v>
      </c>
      <c r="W7" s="18">
        <v>3.3</v>
      </c>
    </row>
    <row r="8" spans="1:23" x14ac:dyDescent="0.35">
      <c r="A8" t="s">
        <v>5</v>
      </c>
      <c r="B8" s="3">
        <f>SUM(B4:B5)</f>
        <v>17282163</v>
      </c>
      <c r="Q8" t="str">
        <f t="shared" si="0"/>
        <v>Kindgebonden budget</v>
      </c>
      <c r="R8">
        <v>2487</v>
      </c>
      <c r="S8">
        <v>21431</v>
      </c>
      <c r="T8" s="18">
        <v>0.7</v>
      </c>
      <c r="U8" s="18">
        <v>20</v>
      </c>
      <c r="V8" s="18">
        <v>1.9</v>
      </c>
      <c r="W8" s="18">
        <v>1.92</v>
      </c>
    </row>
    <row r="9" spans="1:23" x14ac:dyDescent="0.35">
      <c r="B9" s="3"/>
      <c r="Q9" t="str">
        <f t="shared" si="0"/>
        <v>Kinderopvangtoeslag</v>
      </c>
      <c r="R9">
        <v>2760</v>
      </c>
      <c r="S9" t="s">
        <v>87</v>
      </c>
      <c r="T9" s="18">
        <v>0.6</v>
      </c>
      <c r="U9" s="18">
        <v>69</v>
      </c>
      <c r="V9" s="18">
        <v>2.6</v>
      </c>
      <c r="W9" s="18">
        <v>2.67</v>
      </c>
    </row>
    <row r="10" spans="1:23" x14ac:dyDescent="0.35">
      <c r="A10" t="s">
        <v>15</v>
      </c>
      <c r="Q10" t="str">
        <f t="shared" si="0"/>
        <v>Bijstandsuitkeringen</v>
      </c>
      <c r="R10">
        <f>1050*12</f>
        <v>12600</v>
      </c>
      <c r="S10">
        <v>0</v>
      </c>
      <c r="T10" s="18">
        <v>0.4</v>
      </c>
      <c r="U10" s="18"/>
      <c r="V10" s="18">
        <v>1.4E-2</v>
      </c>
      <c r="W10" s="18">
        <v>5.6</v>
      </c>
    </row>
    <row r="11" spans="1:23" x14ac:dyDescent="0.35">
      <c r="A11" s="1" t="s">
        <v>77</v>
      </c>
      <c r="B11" t="s">
        <v>2</v>
      </c>
      <c r="C11" t="s">
        <v>13</v>
      </c>
      <c r="D11" t="s">
        <v>14</v>
      </c>
      <c r="E11" t="s">
        <v>5</v>
      </c>
      <c r="Q11" t="str">
        <f t="shared" si="0"/>
        <v>Zelfstandigenaftrek</v>
      </c>
      <c r="R11">
        <v>3200</v>
      </c>
      <c r="S11" t="s">
        <v>87</v>
      </c>
      <c r="T11" s="18"/>
      <c r="U11" s="18"/>
      <c r="V11" s="18"/>
      <c r="W11" s="18">
        <v>5</v>
      </c>
    </row>
    <row r="12" spans="1:23" x14ac:dyDescent="0.35">
      <c r="A12" t="s">
        <v>8</v>
      </c>
      <c r="B12" s="3">
        <v>1400000</v>
      </c>
      <c r="C12" s="3">
        <v>85000000</v>
      </c>
      <c r="D12" s="3">
        <v>3600000000</v>
      </c>
      <c r="E12" s="3">
        <f>C12+D12</f>
        <v>3685000000</v>
      </c>
      <c r="F12" s="3"/>
      <c r="Q12" t="str">
        <f t="shared" si="0"/>
        <v>MKB-winstvrijstelling</v>
      </c>
      <c r="R12" t="s">
        <v>86</v>
      </c>
      <c r="S12" t="s">
        <v>87</v>
      </c>
      <c r="T12" s="18"/>
      <c r="U12" s="18"/>
      <c r="V12" s="18"/>
      <c r="W12" s="18">
        <v>2.46</v>
      </c>
    </row>
    <row r="13" spans="1:23" x14ac:dyDescent="0.35">
      <c r="A13" t="s">
        <v>9</v>
      </c>
      <c r="B13" s="3">
        <v>4500000</v>
      </c>
      <c r="C13" s="3">
        <v>68000000</v>
      </c>
      <c r="D13" s="3">
        <v>4700000000</v>
      </c>
      <c r="E13" s="3">
        <f>C13+D13</f>
        <v>4768000000</v>
      </c>
      <c r="F13" s="3"/>
      <c r="Q13" t="s">
        <v>5</v>
      </c>
      <c r="T13" s="18"/>
      <c r="U13" s="18"/>
      <c r="V13" s="18"/>
      <c r="W13" s="18">
        <v>29.4</v>
      </c>
    </row>
    <row r="14" spans="1:23" x14ac:dyDescent="0.35">
      <c r="A14" t="s">
        <v>10</v>
      </c>
      <c r="B14" s="3">
        <v>1870000</v>
      </c>
      <c r="D14" s="3">
        <v>3300000000</v>
      </c>
      <c r="E14" s="3">
        <v>3300000000</v>
      </c>
      <c r="F14" s="3"/>
    </row>
    <row r="15" spans="1:23" x14ac:dyDescent="0.35">
      <c r="A15" t="s">
        <v>11</v>
      </c>
      <c r="B15" s="3">
        <v>700000</v>
      </c>
      <c r="C15" s="3">
        <v>20000000</v>
      </c>
      <c r="D15" s="3">
        <v>1900000000</v>
      </c>
      <c r="E15" s="3">
        <f>C15+D15</f>
        <v>1920000000</v>
      </c>
      <c r="F15" s="3"/>
    </row>
    <row r="16" spans="1:23" x14ac:dyDescent="0.35">
      <c r="A16" t="s">
        <v>12</v>
      </c>
      <c r="B16" s="3">
        <v>600000</v>
      </c>
      <c r="C16" s="3">
        <v>69000000</v>
      </c>
      <c r="D16" s="3">
        <v>2600000000</v>
      </c>
      <c r="E16" s="3">
        <f>C16+D16</f>
        <v>2669000000</v>
      </c>
      <c r="F16" s="3"/>
    </row>
    <row r="17" spans="1:13" x14ac:dyDescent="0.35">
      <c r="A17" t="s">
        <v>55</v>
      </c>
      <c r="B17" s="3">
        <v>400000</v>
      </c>
      <c r="C17" s="3"/>
      <c r="D17" s="3">
        <v>14000</v>
      </c>
      <c r="E17" s="3">
        <f>D17*B17</f>
        <v>5600000000</v>
      </c>
    </row>
    <row r="18" spans="1:13" x14ac:dyDescent="0.35">
      <c r="A18" t="s">
        <v>28</v>
      </c>
      <c r="B18" s="3"/>
      <c r="C18" s="3"/>
      <c r="D18" s="3"/>
      <c r="E18" s="3">
        <v>5000000000</v>
      </c>
    </row>
    <row r="19" spans="1:13" x14ac:dyDescent="0.35">
      <c r="A19" t="s">
        <v>59</v>
      </c>
      <c r="B19" s="3"/>
      <c r="C19" s="3"/>
      <c r="D19" s="3"/>
      <c r="E19" s="3">
        <v>2460000000</v>
      </c>
    </row>
    <row r="20" spans="1:13" x14ac:dyDescent="0.35">
      <c r="A20" t="s">
        <v>5</v>
      </c>
      <c r="B20" s="3"/>
      <c r="C20" s="3">
        <f>SUM(C12:C19)</f>
        <v>242000000</v>
      </c>
      <c r="D20" s="3">
        <f>SUM(D12:D19)</f>
        <v>16100014000</v>
      </c>
      <c r="E20" s="3">
        <f>SUM(E12:E19)</f>
        <v>29402000000</v>
      </c>
      <c r="F20" s="3">
        <f>E20-C20</f>
        <v>29160000000</v>
      </c>
      <c r="M20" s="3"/>
    </row>
    <row r="21" spans="1:13" x14ac:dyDescent="0.35">
      <c r="B21" s="3"/>
      <c r="C21" s="3"/>
      <c r="D21" s="3"/>
      <c r="E21" s="3"/>
    </row>
    <row r="22" spans="1:13" x14ac:dyDescent="0.35">
      <c r="A22" s="1" t="s">
        <v>58</v>
      </c>
    </row>
    <row r="23" spans="1:13" x14ac:dyDescent="0.35">
      <c r="A23" t="s">
        <v>33</v>
      </c>
      <c r="B23" s="3">
        <v>250000</v>
      </c>
      <c r="C23">
        <v>12600</v>
      </c>
      <c r="E23" s="3">
        <f>B23*C23</f>
        <v>3150000000</v>
      </c>
      <c r="M23" s="3"/>
    </row>
    <row r="25" spans="1:13" x14ac:dyDescent="0.35">
      <c r="A25" s="6" t="s">
        <v>41</v>
      </c>
      <c r="E25" s="12">
        <f>E23+E20</f>
        <v>32552000000</v>
      </c>
      <c r="M25" s="7">
        <f>E25</f>
        <v>32552000000</v>
      </c>
    </row>
    <row r="27" spans="1:13" x14ac:dyDescent="0.35">
      <c r="A27" t="s">
        <v>27</v>
      </c>
    </row>
    <row r="28" spans="1:13" x14ac:dyDescent="0.35">
      <c r="A28" t="s">
        <v>17</v>
      </c>
      <c r="B28">
        <v>3121070</v>
      </c>
    </row>
    <row r="29" spans="1:13" x14ac:dyDescent="0.35">
      <c r="A29" t="s">
        <v>18</v>
      </c>
      <c r="B29">
        <v>10369255</v>
      </c>
    </row>
    <row r="30" spans="1:13" x14ac:dyDescent="0.35">
      <c r="A30" t="s">
        <v>26</v>
      </c>
      <c r="B30">
        <v>13490325</v>
      </c>
    </row>
    <row r="32" spans="1:13" ht="18.5" x14ac:dyDescent="0.45">
      <c r="A32" s="5" t="s">
        <v>34</v>
      </c>
    </row>
    <row r="33" spans="1:19" x14ac:dyDescent="0.35">
      <c r="A33" t="s">
        <v>19</v>
      </c>
      <c r="B33">
        <v>1</v>
      </c>
      <c r="C33">
        <v>2</v>
      </c>
      <c r="D33">
        <v>3</v>
      </c>
      <c r="E33">
        <v>4</v>
      </c>
      <c r="F33">
        <v>5</v>
      </c>
      <c r="G33">
        <v>6</v>
      </c>
      <c r="H33">
        <v>7</v>
      </c>
      <c r="I33">
        <v>8</v>
      </c>
      <c r="J33">
        <v>9</v>
      </c>
      <c r="K33">
        <v>10</v>
      </c>
    </row>
    <row r="34" spans="1:19" x14ac:dyDescent="0.35">
      <c r="A34" s="1" t="s">
        <v>124</v>
      </c>
    </row>
    <row r="35" spans="1:19" x14ac:dyDescent="0.35">
      <c r="A35" t="s">
        <v>64</v>
      </c>
      <c r="B35" s="4">
        <v>2400</v>
      </c>
      <c r="C35" s="4">
        <v>9500</v>
      </c>
      <c r="D35" s="4">
        <v>14400</v>
      </c>
      <c r="E35" s="4">
        <v>18700</v>
      </c>
      <c r="F35" s="4">
        <v>24700</v>
      </c>
      <c r="G35" s="4">
        <v>31600</v>
      </c>
      <c r="H35" s="36">
        <v>39900</v>
      </c>
      <c r="I35" s="4">
        <v>49700</v>
      </c>
      <c r="J35" s="4">
        <v>64500</v>
      </c>
      <c r="K35" s="4">
        <v>113800</v>
      </c>
    </row>
    <row r="36" spans="1:19" x14ac:dyDescent="0.35">
      <c r="A36" t="s">
        <v>22</v>
      </c>
      <c r="B36" s="4"/>
      <c r="C36" s="4"/>
      <c r="D36" s="4"/>
      <c r="E36" s="4"/>
      <c r="F36" s="4"/>
      <c r="G36" s="4"/>
      <c r="H36" s="4"/>
      <c r="I36" s="4"/>
      <c r="J36" s="4"/>
      <c r="K36" s="4"/>
    </row>
    <row r="37" spans="1:19" x14ac:dyDescent="0.35">
      <c r="A37" t="s">
        <v>20</v>
      </c>
      <c r="B37" s="4">
        <f>IF(B35&lt;68507,37.35%*B35,(37.35%*68507+(B35-68507)*49.5%))</f>
        <v>896.4</v>
      </c>
      <c r="C37" s="4">
        <f>IF(C35&lt;68507,37.35%*C35,(37.35%*68507+(C35-68507)*49.5%))</f>
        <v>3548.25</v>
      </c>
      <c r="D37" s="4">
        <f t="shared" ref="D37:K37" si="1">IF(D35&lt;68507,37.35%*D35,(37.35%*68507+(D35-68507)*49.5%))</f>
        <v>5378.4</v>
      </c>
      <c r="E37" s="4">
        <f t="shared" si="1"/>
        <v>6984.45</v>
      </c>
      <c r="F37" s="4">
        <f t="shared" si="1"/>
        <v>9225.4500000000007</v>
      </c>
      <c r="G37" s="4">
        <f t="shared" si="1"/>
        <v>11802.6</v>
      </c>
      <c r="H37" s="4">
        <f t="shared" si="1"/>
        <v>14902.65</v>
      </c>
      <c r="I37" s="4">
        <f t="shared" si="1"/>
        <v>18562.95</v>
      </c>
      <c r="J37" s="4">
        <f t="shared" si="1"/>
        <v>24090.75</v>
      </c>
      <c r="K37" s="4">
        <f t="shared" si="1"/>
        <v>48007.3995</v>
      </c>
    </row>
    <row r="38" spans="1:19" x14ac:dyDescent="0.35">
      <c r="A38" t="s">
        <v>21</v>
      </c>
      <c r="B38" s="4">
        <f t="shared" ref="B38:K38" si="2">IF(B35&lt;20711,2711,IF(B35&lt;68507,(2711-0.05672*(B35-20711)),0))</f>
        <v>2711</v>
      </c>
      <c r="C38" s="4">
        <f t="shared" si="2"/>
        <v>2711</v>
      </c>
      <c r="D38" s="4">
        <f t="shared" si="2"/>
        <v>2711</v>
      </c>
      <c r="E38" s="4">
        <f t="shared" si="2"/>
        <v>2711</v>
      </c>
      <c r="F38" s="4">
        <f t="shared" si="2"/>
        <v>2484.7439199999999</v>
      </c>
      <c r="G38" s="4">
        <f t="shared" si="2"/>
        <v>2093.37592</v>
      </c>
      <c r="H38" s="4">
        <f t="shared" si="2"/>
        <v>1622.5999200000001</v>
      </c>
      <c r="I38" s="4">
        <f t="shared" si="2"/>
        <v>1066.7439200000001</v>
      </c>
      <c r="J38" s="4">
        <f t="shared" si="2"/>
        <v>227.28792000000021</v>
      </c>
      <c r="K38" s="4">
        <f t="shared" si="2"/>
        <v>0</v>
      </c>
      <c r="R38" t="s">
        <v>76</v>
      </c>
    </row>
    <row r="39" spans="1:19" x14ac:dyDescent="0.35">
      <c r="A39" t="s">
        <v>23</v>
      </c>
      <c r="B39" s="4">
        <f t="shared" ref="B39:I39" si="3">IF(B35&lt;9921,0.02812*B35,IF(B35&lt;21430,279+0.28812*(B35-9921),IF(B35&lt;34954,3595+0.01656*(B35-21430),IF(B35&lt;98604,3819-0.06*(B35-34954),0))))</f>
        <v>67.488</v>
      </c>
      <c r="C39" s="4">
        <f t="shared" si="3"/>
        <v>267.14</v>
      </c>
      <c r="D39" s="4">
        <f t="shared" si="3"/>
        <v>1569.48948</v>
      </c>
      <c r="E39" s="4">
        <f t="shared" si="3"/>
        <v>2808.4054799999999</v>
      </c>
      <c r="F39" s="4">
        <f t="shared" si="3"/>
        <v>3649.1511999999998</v>
      </c>
      <c r="G39" s="4">
        <f t="shared" si="3"/>
        <v>3763.4151999999999</v>
      </c>
      <c r="H39" s="4">
        <f t="shared" si="3"/>
        <v>3522.24</v>
      </c>
      <c r="I39" s="4">
        <f t="shared" si="3"/>
        <v>2934.24</v>
      </c>
      <c r="J39" s="4">
        <f>IF(J35&lt;9921,0.02812*J35,IF(J35&lt;21430,279+0.28812*(J35-9921),IF(J35&lt;34954,3595+0.01656*(J35-21430),IF(J35&lt;98604,3819-0.06*(J35-34954),0))))</f>
        <v>2046.24</v>
      </c>
      <c r="K39" s="4">
        <f>IF(K35&lt;9921,0.02812*K35,IF(K35&lt;21430,279+0.28812*(K35-9921),IF(K35&lt;34954,3595+0.01656*(K35-21430),IF(K35&lt;98604,3819-0.06*(K35-34954),0))))</f>
        <v>0</v>
      </c>
      <c r="O39" t="s">
        <v>74</v>
      </c>
      <c r="R39" s="10">
        <f>K35/SUM(B35:K35)*100%</f>
        <v>0.30823401950162516</v>
      </c>
      <c r="S39" s="10"/>
    </row>
    <row r="40" spans="1:19" x14ac:dyDescent="0.35">
      <c r="A40" t="s">
        <v>24</v>
      </c>
      <c r="B40" s="4">
        <f>IF(B37-B38-B39&lt;0,0,B37-B38-B39)</f>
        <v>0</v>
      </c>
      <c r="C40" s="4">
        <f t="shared" ref="C40:K40" si="4">IF(C37-C38-C39&lt;0,0,C37-C38-C39)</f>
        <v>570.11</v>
      </c>
      <c r="D40" s="4">
        <f t="shared" si="4"/>
        <v>1097.9105199999997</v>
      </c>
      <c r="E40" s="4">
        <f t="shared" si="4"/>
        <v>1465.0445199999999</v>
      </c>
      <c r="F40" s="4">
        <f t="shared" si="4"/>
        <v>3091.554880000001</v>
      </c>
      <c r="G40" s="4">
        <f t="shared" si="4"/>
        <v>5945.8088800000005</v>
      </c>
      <c r="H40" s="4">
        <f t="shared" si="4"/>
        <v>9757.8100799999993</v>
      </c>
      <c r="I40" s="4">
        <f t="shared" si="4"/>
        <v>14561.96608</v>
      </c>
      <c r="J40" s="4">
        <f t="shared" si="4"/>
        <v>21817.22208</v>
      </c>
      <c r="K40" s="4">
        <f t="shared" si="4"/>
        <v>48007.3995</v>
      </c>
      <c r="M40" s="3">
        <f>($B$29/10)*SUM(B40:K40)</f>
        <v>110240554667.40279</v>
      </c>
      <c r="O40" t="s">
        <v>75</v>
      </c>
      <c r="R40" s="10">
        <f>SUM(B35:F35)/SUM(B35:K35)</f>
        <v>0.18878656554712892</v>
      </c>
      <c r="S40" s="10"/>
    </row>
    <row r="41" spans="1:19" x14ac:dyDescent="0.35">
      <c r="A41" t="s">
        <v>25</v>
      </c>
      <c r="B41" s="4">
        <f>B35-B40</f>
        <v>2400</v>
      </c>
      <c r="C41" s="4">
        <f t="shared" ref="C41:K41" si="5">C35-C40</f>
        <v>8929.89</v>
      </c>
      <c r="D41" s="4">
        <f t="shared" si="5"/>
        <v>13302.089480000001</v>
      </c>
      <c r="E41" s="4">
        <f t="shared" si="5"/>
        <v>17234.955480000001</v>
      </c>
      <c r="F41" s="4">
        <f t="shared" si="5"/>
        <v>21608.44512</v>
      </c>
      <c r="G41" s="4">
        <f t="shared" si="5"/>
        <v>25654.19112</v>
      </c>
      <c r="H41" s="4">
        <f t="shared" si="5"/>
        <v>30142.189920000001</v>
      </c>
      <c r="I41" s="4">
        <f t="shared" si="5"/>
        <v>35138.033920000002</v>
      </c>
      <c r="J41" s="4">
        <f t="shared" si="5"/>
        <v>42682.77792</v>
      </c>
      <c r="K41" s="4">
        <f t="shared" si="5"/>
        <v>65792.6005</v>
      </c>
    </row>
    <row r="42" spans="1:19" x14ac:dyDescent="0.35">
      <c r="A42" t="s">
        <v>65</v>
      </c>
      <c r="B42" s="4"/>
      <c r="C42" s="4">
        <f>C41</f>
        <v>8929.89</v>
      </c>
      <c r="D42" s="4">
        <f t="shared" ref="D42:I42" si="6">D41</f>
        <v>13302.089480000001</v>
      </c>
      <c r="E42" s="4">
        <f t="shared" si="6"/>
        <v>17234.955480000001</v>
      </c>
      <c r="F42" s="4">
        <f t="shared" si="6"/>
        <v>21608.44512</v>
      </c>
      <c r="G42" s="4">
        <f t="shared" si="6"/>
        <v>25654.19112</v>
      </c>
      <c r="H42" s="4">
        <f t="shared" si="6"/>
        <v>30142.189920000001</v>
      </c>
      <c r="I42" s="4">
        <f t="shared" si="6"/>
        <v>35138.033920000002</v>
      </c>
      <c r="J42" s="4"/>
      <c r="K42" s="4"/>
    </row>
    <row r="43" spans="1:19" x14ac:dyDescent="0.35">
      <c r="B43" s="3"/>
      <c r="C43" s="3"/>
      <c r="D43" s="3"/>
      <c r="E43" s="3"/>
      <c r="F43" s="3"/>
      <c r="G43" s="3"/>
      <c r="H43" s="3"/>
      <c r="I43" s="3"/>
      <c r="J43" s="3"/>
      <c r="K43" s="3"/>
    </row>
    <row r="44" spans="1:19" x14ac:dyDescent="0.35">
      <c r="A44" t="s">
        <v>30</v>
      </c>
      <c r="B44" s="3"/>
      <c r="C44" s="3"/>
      <c r="J44" s="3"/>
      <c r="K44" s="3"/>
    </row>
    <row r="45" spans="1:19" x14ac:dyDescent="0.35">
      <c r="A45" t="s">
        <v>120</v>
      </c>
      <c r="B45" s="3"/>
      <c r="C45" s="3"/>
      <c r="D45" s="4">
        <f t="shared" ref="D45:J45" si="7">D35</f>
        <v>14400</v>
      </c>
      <c r="E45" s="4">
        <f t="shared" si="7"/>
        <v>18700</v>
      </c>
      <c r="F45" s="4">
        <f t="shared" si="7"/>
        <v>24700</v>
      </c>
      <c r="G45" s="4">
        <f t="shared" si="7"/>
        <v>31600</v>
      </c>
      <c r="H45" s="4">
        <f t="shared" si="7"/>
        <v>39900</v>
      </c>
      <c r="I45" s="4">
        <f t="shared" si="7"/>
        <v>49700</v>
      </c>
      <c r="J45" s="4">
        <f t="shared" si="7"/>
        <v>64500</v>
      </c>
      <c r="K45" s="3"/>
    </row>
    <row r="46" spans="1:19" x14ac:dyDescent="0.35">
      <c r="A46" t="s">
        <v>31</v>
      </c>
      <c r="B46" s="3"/>
      <c r="C46" s="3"/>
      <c r="D46" s="4">
        <f t="shared" ref="D46:J46" si="8">IF(D45&lt;35376,19.45%*D45,IF(D45&lt;68507,6880+(D45-35376)*37.35%,6880+12374+(D45-68507)*49.5%))</f>
        <v>2800.8</v>
      </c>
      <c r="E46" s="4">
        <f t="shared" si="8"/>
        <v>3637.15</v>
      </c>
      <c r="F46" s="4">
        <f t="shared" si="8"/>
        <v>4804.1500000000005</v>
      </c>
      <c r="G46" s="4">
        <f t="shared" si="8"/>
        <v>6146.2</v>
      </c>
      <c r="H46" s="4">
        <f t="shared" si="8"/>
        <v>8569.7139999999999</v>
      </c>
      <c r="I46" s="4">
        <f t="shared" si="8"/>
        <v>12230.013999999999</v>
      </c>
      <c r="J46" s="4">
        <f t="shared" si="8"/>
        <v>17757.813999999998</v>
      </c>
      <c r="K46" s="3"/>
    </row>
    <row r="47" spans="1:19" x14ac:dyDescent="0.35">
      <c r="A47" t="s">
        <v>21</v>
      </c>
      <c r="B47" s="3"/>
      <c r="C47" s="3"/>
      <c r="D47" s="4">
        <f>IF(D45&lt;20711,1413,IF(D45&lt;68507,(1413-0.02954*(D45-20711)),0))</f>
        <v>1413</v>
      </c>
      <c r="E47" s="4">
        <f t="shared" ref="E47:J47" si="9">IF(E45&lt;20711,1413,IF(E45&lt;68507,(1413-0.02954*(E45-20711)),0))</f>
        <v>1413</v>
      </c>
      <c r="F47" s="4">
        <f t="shared" si="9"/>
        <v>1295.1649400000001</v>
      </c>
      <c r="G47" s="4">
        <f t="shared" si="9"/>
        <v>1091.3389400000001</v>
      </c>
      <c r="H47" s="4">
        <f t="shared" si="9"/>
        <v>846.15693999999996</v>
      </c>
      <c r="I47" s="4">
        <f t="shared" si="9"/>
        <v>556.66494</v>
      </c>
      <c r="J47" s="4">
        <f t="shared" si="9"/>
        <v>119.47293999999988</v>
      </c>
      <c r="K47" s="3"/>
    </row>
    <row r="48" spans="1:19" x14ac:dyDescent="0.35">
      <c r="A48" t="s">
        <v>35</v>
      </c>
      <c r="B48" s="3"/>
      <c r="C48" s="3"/>
      <c r="D48" s="4">
        <f>IF(D45&lt;37372,1622,IF(D45&lt;37372,1622-0.15*(D45-37372),0))</f>
        <v>1622</v>
      </c>
      <c r="E48" s="4">
        <f t="shared" ref="E48:J48" si="10">IF(E45&lt;37372,1622,IF(E45&lt;37372,1622-0.15*(E45-37372),0))</f>
        <v>1622</v>
      </c>
      <c r="F48" s="4">
        <f t="shared" si="10"/>
        <v>1622</v>
      </c>
      <c r="G48" s="4">
        <f t="shared" si="10"/>
        <v>1622</v>
      </c>
      <c r="H48" s="4">
        <f t="shared" si="10"/>
        <v>0</v>
      </c>
      <c r="I48" s="4">
        <f t="shared" si="10"/>
        <v>0</v>
      </c>
      <c r="J48" s="4">
        <f t="shared" si="10"/>
        <v>0</v>
      </c>
      <c r="K48" s="3"/>
    </row>
    <row r="49" spans="1:27" x14ac:dyDescent="0.35">
      <c r="A49" t="s">
        <v>24</v>
      </c>
      <c r="B49" s="3"/>
      <c r="C49" s="3"/>
      <c r="D49" s="4">
        <f t="shared" ref="D49:J49" si="11">IF(D46-D47-D48&lt;0,0,D46-D47-D48)</f>
        <v>0</v>
      </c>
      <c r="E49" s="4">
        <f t="shared" si="11"/>
        <v>602.15000000000009</v>
      </c>
      <c r="F49" s="4">
        <f t="shared" si="11"/>
        <v>1886.9850600000004</v>
      </c>
      <c r="G49" s="4">
        <f t="shared" si="11"/>
        <v>3432.8610599999993</v>
      </c>
      <c r="H49" s="4">
        <f t="shared" si="11"/>
        <v>7723.5570600000001</v>
      </c>
      <c r="I49" s="4">
        <f t="shared" si="11"/>
        <v>11673.349059999999</v>
      </c>
      <c r="J49" s="4">
        <f t="shared" si="11"/>
        <v>17638.341059999999</v>
      </c>
      <c r="K49" s="3"/>
      <c r="M49" s="3">
        <f>($B$28/7)*SUM(D49:J49)</f>
        <v>19153223335.19014</v>
      </c>
    </row>
    <row r="50" spans="1:27" x14ac:dyDescent="0.35">
      <c r="A50" t="s">
        <v>25</v>
      </c>
      <c r="B50" s="3"/>
      <c r="C50" s="3"/>
      <c r="D50" s="4">
        <f>D45-D49</f>
        <v>14400</v>
      </c>
      <c r="E50" s="4">
        <f t="shared" ref="E50:J50" si="12">E45-E49</f>
        <v>18097.849999999999</v>
      </c>
      <c r="F50" s="4">
        <f t="shared" si="12"/>
        <v>22813.014940000001</v>
      </c>
      <c r="G50" s="4">
        <f t="shared" si="12"/>
        <v>28167.138940000001</v>
      </c>
      <c r="H50" s="4">
        <f t="shared" si="12"/>
        <v>32176.442940000001</v>
      </c>
      <c r="I50" s="4">
        <f t="shared" si="12"/>
        <v>38026.65094</v>
      </c>
      <c r="J50" s="4">
        <f t="shared" si="12"/>
        <v>46861.658940000001</v>
      </c>
      <c r="K50" s="3"/>
      <c r="M50" s="3"/>
    </row>
    <row r="51" spans="1:27" x14ac:dyDescent="0.35">
      <c r="B51" s="3"/>
      <c r="C51" s="3"/>
      <c r="D51" s="4"/>
      <c r="E51" s="4"/>
      <c r="F51" s="4"/>
      <c r="G51" s="4"/>
      <c r="H51" s="4"/>
      <c r="I51" s="4"/>
      <c r="J51" s="3"/>
      <c r="K51" s="3"/>
    </row>
    <row r="52" spans="1:27" x14ac:dyDescent="0.35">
      <c r="A52" t="s">
        <v>32</v>
      </c>
      <c r="B52" s="3"/>
      <c r="C52" s="3"/>
      <c r="D52" s="4"/>
      <c r="E52" s="4"/>
      <c r="F52" s="4"/>
      <c r="G52" s="4"/>
      <c r="H52" s="4"/>
      <c r="I52" s="4"/>
      <c r="J52" s="3"/>
      <c r="K52" s="3"/>
      <c r="M52" s="3">
        <f>SUM(M40:M50)</f>
        <v>129393778002.59293</v>
      </c>
    </row>
    <row r="53" spans="1:27" x14ac:dyDescent="0.35">
      <c r="B53" s="3"/>
      <c r="C53" s="3"/>
      <c r="D53" s="4"/>
      <c r="E53" s="4"/>
      <c r="F53" s="4"/>
      <c r="G53" s="4"/>
      <c r="H53" s="4"/>
      <c r="I53" s="4"/>
      <c r="J53" s="3"/>
      <c r="K53" s="3"/>
      <c r="M53" s="3"/>
    </row>
    <row r="54" spans="1:27" x14ac:dyDescent="0.35">
      <c r="A54" t="s">
        <v>109</v>
      </c>
      <c r="B54" s="23">
        <f>B40/B35</f>
        <v>0</v>
      </c>
      <c r="C54" s="23">
        <f t="shared" ref="C54:K54" si="13">C40/C35</f>
        <v>6.0011578947368423E-2</v>
      </c>
      <c r="D54" s="23">
        <f t="shared" si="13"/>
        <v>7.6243786111111087E-2</v>
      </c>
      <c r="E54" s="23">
        <f t="shared" si="13"/>
        <v>7.834462673796791E-2</v>
      </c>
      <c r="F54" s="23">
        <f t="shared" si="13"/>
        <v>0.12516416518218629</v>
      </c>
      <c r="G54" s="23">
        <f t="shared" si="13"/>
        <v>0.18815850886075952</v>
      </c>
      <c r="H54" s="23">
        <f t="shared" si="13"/>
        <v>0.24455664360902254</v>
      </c>
      <c r="I54" s="23">
        <f t="shared" si="13"/>
        <v>0.29299730543259556</v>
      </c>
      <c r="J54" s="23">
        <f t="shared" si="13"/>
        <v>0.33825150511627905</v>
      </c>
      <c r="K54" s="23">
        <f t="shared" si="13"/>
        <v>0.42185764059753955</v>
      </c>
      <c r="M54" s="3"/>
    </row>
    <row r="55" spans="1:27" x14ac:dyDescent="0.35">
      <c r="B55" s="3"/>
      <c r="C55" s="3"/>
      <c r="D55" s="3"/>
      <c r="E55" s="3"/>
      <c r="F55" s="3"/>
      <c r="G55" s="3"/>
      <c r="H55" s="3"/>
      <c r="I55" s="3"/>
      <c r="J55" s="3"/>
      <c r="K55" s="3"/>
    </row>
    <row r="56" spans="1:27" ht="18.5" x14ac:dyDescent="0.45">
      <c r="A56" s="5" t="s">
        <v>29</v>
      </c>
    </row>
    <row r="57" spans="1:27" ht="18.5" x14ac:dyDescent="0.45">
      <c r="A57" s="5" t="s">
        <v>22</v>
      </c>
    </row>
    <row r="58" spans="1:27" x14ac:dyDescent="0.35">
      <c r="A58" t="str">
        <f t="shared" ref="A58:K58" si="14">A33</f>
        <v>Deciel</v>
      </c>
      <c r="B58" s="4">
        <f t="shared" si="14"/>
        <v>1</v>
      </c>
      <c r="C58" s="4">
        <f t="shared" si="14"/>
        <v>2</v>
      </c>
      <c r="D58" s="4">
        <f t="shared" si="14"/>
        <v>3</v>
      </c>
      <c r="E58" s="4">
        <f t="shared" si="14"/>
        <v>4</v>
      </c>
      <c r="F58" s="4">
        <f t="shared" si="14"/>
        <v>5</v>
      </c>
      <c r="G58" s="4">
        <f t="shared" si="14"/>
        <v>6</v>
      </c>
      <c r="H58" s="4">
        <f t="shared" si="14"/>
        <v>7</v>
      </c>
      <c r="I58" s="4">
        <f t="shared" si="14"/>
        <v>8</v>
      </c>
      <c r="J58" s="4">
        <f t="shared" si="14"/>
        <v>9</v>
      </c>
      <c r="K58" s="4">
        <f t="shared" si="14"/>
        <v>10</v>
      </c>
      <c r="Q58" t="s">
        <v>78</v>
      </c>
    </row>
    <row r="59" spans="1:27" x14ac:dyDescent="0.35">
      <c r="B59" s="4"/>
      <c r="C59" s="4"/>
      <c r="D59" s="4"/>
      <c r="E59" s="4"/>
      <c r="F59" s="4"/>
      <c r="G59" s="4"/>
      <c r="H59" s="4"/>
      <c r="I59" s="4"/>
      <c r="J59" s="4"/>
      <c r="K59" s="4"/>
      <c r="Q59" t="s">
        <v>19</v>
      </c>
      <c r="R59">
        <f t="shared" ref="R59:AA59" si="15">B33</f>
        <v>1</v>
      </c>
      <c r="S59">
        <f t="shared" si="15"/>
        <v>2</v>
      </c>
      <c r="T59">
        <f t="shared" si="15"/>
        <v>3</v>
      </c>
      <c r="U59">
        <f t="shared" si="15"/>
        <v>4</v>
      </c>
      <c r="V59">
        <f t="shared" si="15"/>
        <v>5</v>
      </c>
      <c r="W59">
        <f t="shared" si="15"/>
        <v>6</v>
      </c>
      <c r="X59">
        <f t="shared" si="15"/>
        <v>7</v>
      </c>
      <c r="Y59">
        <f t="shared" si="15"/>
        <v>8</v>
      </c>
      <c r="Z59">
        <f t="shared" si="15"/>
        <v>9</v>
      </c>
      <c r="AA59">
        <f t="shared" si="15"/>
        <v>10</v>
      </c>
    </row>
    <row r="60" spans="1:27" x14ac:dyDescent="0.35">
      <c r="A60" t="str">
        <f>A35</f>
        <v>Persoonlijk bruto inkomen (CBS, 2018)</v>
      </c>
      <c r="B60" s="4">
        <f>B35</f>
        <v>2400</v>
      </c>
      <c r="C60" s="4">
        <f t="shared" ref="C60:K60" si="16">C35</f>
        <v>9500</v>
      </c>
      <c r="D60" s="4">
        <f t="shared" si="16"/>
        <v>14400</v>
      </c>
      <c r="E60" s="4">
        <f t="shared" si="16"/>
        <v>18700</v>
      </c>
      <c r="F60" s="4">
        <f t="shared" si="16"/>
        <v>24700</v>
      </c>
      <c r="G60" s="4">
        <f t="shared" si="16"/>
        <v>31600</v>
      </c>
      <c r="H60" s="4">
        <f t="shared" si="16"/>
        <v>39900</v>
      </c>
      <c r="I60" s="4">
        <f t="shared" si="16"/>
        <v>49700</v>
      </c>
      <c r="J60" s="4">
        <f t="shared" si="16"/>
        <v>64500</v>
      </c>
      <c r="K60" s="4">
        <f t="shared" si="16"/>
        <v>113800</v>
      </c>
      <c r="Q60" s="26" t="s">
        <v>79</v>
      </c>
      <c r="R60" s="14"/>
      <c r="S60" s="14"/>
      <c r="T60" s="14"/>
      <c r="U60" s="14"/>
      <c r="V60" s="14"/>
      <c r="W60" s="14"/>
      <c r="X60" s="14"/>
      <c r="Y60" s="14"/>
      <c r="Z60" s="14"/>
      <c r="AA60" s="14"/>
    </row>
    <row r="61" spans="1:27" x14ac:dyDescent="0.35">
      <c r="A61" t="s">
        <v>118</v>
      </c>
      <c r="B61" s="4">
        <f>B35+$C$5</f>
        <v>3900</v>
      </c>
      <c r="C61" s="4">
        <f t="shared" ref="C61:K61" si="17">C35+$C$4</f>
        <v>22100</v>
      </c>
      <c r="D61" s="4">
        <f t="shared" si="17"/>
        <v>27000</v>
      </c>
      <c r="E61" s="4">
        <f t="shared" si="17"/>
        <v>31300</v>
      </c>
      <c r="F61" s="4">
        <f t="shared" si="17"/>
        <v>37300</v>
      </c>
      <c r="G61" s="4">
        <f t="shared" si="17"/>
        <v>44200</v>
      </c>
      <c r="H61" s="4">
        <f t="shared" si="17"/>
        <v>52500</v>
      </c>
      <c r="I61" s="4">
        <f t="shared" si="17"/>
        <v>62300</v>
      </c>
      <c r="J61" s="4">
        <f t="shared" si="17"/>
        <v>77100</v>
      </c>
      <c r="K61" s="4">
        <f t="shared" si="17"/>
        <v>126400</v>
      </c>
      <c r="Q61" s="14" t="s">
        <v>119</v>
      </c>
      <c r="R61" s="27">
        <f t="shared" ref="R61:AA61" si="18">B35</f>
        <v>2400</v>
      </c>
      <c r="S61" s="27">
        <f t="shared" si="18"/>
        <v>9500</v>
      </c>
      <c r="T61" s="27">
        <f t="shared" si="18"/>
        <v>14400</v>
      </c>
      <c r="U61" s="27">
        <f t="shared" si="18"/>
        <v>18700</v>
      </c>
      <c r="V61" s="27">
        <f t="shared" si="18"/>
        <v>24700</v>
      </c>
      <c r="W61" s="27">
        <f t="shared" si="18"/>
        <v>31600</v>
      </c>
      <c r="X61" s="27">
        <f t="shared" si="18"/>
        <v>39900</v>
      </c>
      <c r="Y61" s="27">
        <f t="shared" si="18"/>
        <v>49700</v>
      </c>
      <c r="Z61" s="27">
        <f t="shared" si="18"/>
        <v>64500</v>
      </c>
      <c r="AA61" s="27">
        <f t="shared" si="18"/>
        <v>113800</v>
      </c>
    </row>
    <row r="62" spans="1:27" x14ac:dyDescent="0.35">
      <c r="A62" t="str">
        <f t="shared" ref="A62:A67" si="19">A36</f>
        <v>WERKENDEN</v>
      </c>
      <c r="B62" s="4"/>
      <c r="C62" s="4"/>
      <c r="D62" s="4"/>
      <c r="E62" s="4"/>
      <c r="F62" s="4"/>
      <c r="G62" s="4"/>
      <c r="H62" s="4"/>
      <c r="I62" s="4"/>
      <c r="J62" s="4"/>
      <c r="K62" s="4"/>
      <c r="Q62" s="14" t="s">
        <v>82</v>
      </c>
      <c r="R62" s="27">
        <f t="shared" ref="R62:AA62" si="20">B41</f>
        <v>2400</v>
      </c>
      <c r="S62" s="27">
        <f t="shared" si="20"/>
        <v>8929.89</v>
      </c>
      <c r="T62" s="27">
        <f t="shared" si="20"/>
        <v>13302.089480000001</v>
      </c>
      <c r="U62" s="27">
        <f t="shared" si="20"/>
        <v>17234.955480000001</v>
      </c>
      <c r="V62" s="27">
        <f t="shared" si="20"/>
        <v>21608.44512</v>
      </c>
      <c r="W62" s="27">
        <f t="shared" si="20"/>
        <v>25654.19112</v>
      </c>
      <c r="X62" s="27">
        <f t="shared" si="20"/>
        <v>30142.189920000001</v>
      </c>
      <c r="Y62" s="27">
        <f t="shared" si="20"/>
        <v>35138.033920000002</v>
      </c>
      <c r="Z62" s="27">
        <f t="shared" si="20"/>
        <v>42682.77792</v>
      </c>
      <c r="AA62" s="27">
        <f t="shared" si="20"/>
        <v>65792.6005</v>
      </c>
    </row>
    <row r="63" spans="1:27" x14ac:dyDescent="0.35">
      <c r="A63" t="str">
        <f t="shared" si="19"/>
        <v>IB werkenden (37,35%&lt;68507&lt;49,5%0</v>
      </c>
      <c r="B63" s="4">
        <f>IF(B61&lt;68507,37.35%*B61,(37.35%*68507+(B61-68507)*49.5%))</f>
        <v>1456.65</v>
      </c>
      <c r="C63" s="4">
        <f t="shared" ref="C63:K63" si="21">IF(C61&lt;68507,37.35%*C61,(37.35%*68507+(C61-68507)*49.5%))</f>
        <v>8254.35</v>
      </c>
      <c r="D63" s="4">
        <f t="shared" si="21"/>
        <v>10084.5</v>
      </c>
      <c r="E63" s="4">
        <f t="shared" si="21"/>
        <v>11690.55</v>
      </c>
      <c r="F63" s="4">
        <f t="shared" si="21"/>
        <v>13931.55</v>
      </c>
      <c r="G63" s="4">
        <f t="shared" si="21"/>
        <v>16508.7</v>
      </c>
      <c r="H63" s="4">
        <f t="shared" si="21"/>
        <v>19608.75</v>
      </c>
      <c r="I63" s="4">
        <f t="shared" si="21"/>
        <v>23269.05</v>
      </c>
      <c r="J63" s="4">
        <f t="shared" si="21"/>
        <v>29840.8995</v>
      </c>
      <c r="K63" s="4">
        <f t="shared" si="21"/>
        <v>54244.3995</v>
      </c>
      <c r="Q63" s="14" t="s">
        <v>80</v>
      </c>
      <c r="R63" s="14"/>
      <c r="S63" s="14"/>
      <c r="T63" s="27">
        <f t="shared" ref="T63:Z63" si="22">D50</f>
        <v>14400</v>
      </c>
      <c r="U63" s="27">
        <f t="shared" si="22"/>
        <v>18097.849999999999</v>
      </c>
      <c r="V63" s="27">
        <f t="shared" si="22"/>
        <v>22813.014940000001</v>
      </c>
      <c r="W63" s="27">
        <f t="shared" si="22"/>
        <v>28167.138940000001</v>
      </c>
      <c r="X63" s="27">
        <f t="shared" si="22"/>
        <v>32176.442940000001</v>
      </c>
      <c r="Y63" s="27">
        <f t="shared" si="22"/>
        <v>38026.65094</v>
      </c>
      <c r="Z63" s="27">
        <f t="shared" si="22"/>
        <v>46861.658940000001</v>
      </c>
      <c r="AA63" s="14"/>
    </row>
    <row r="64" spans="1:27" x14ac:dyDescent="0.35">
      <c r="A64" t="str">
        <f t="shared" si="19"/>
        <v>Algemene Heffingskorting</v>
      </c>
      <c r="B64" s="4">
        <f t="shared" ref="B64:K64" si="23">IF(B61&lt;20711,2711,IF(B61&lt;68507,(2711-0.05672*(B61-20711)),0))</f>
        <v>2711</v>
      </c>
      <c r="C64" s="4">
        <f t="shared" si="23"/>
        <v>2632.2159200000001</v>
      </c>
      <c r="D64" s="4">
        <f t="shared" si="23"/>
        <v>2354.2879199999998</v>
      </c>
      <c r="E64" s="4">
        <f t="shared" si="23"/>
        <v>2110.39192</v>
      </c>
      <c r="F64" s="4">
        <f t="shared" si="23"/>
        <v>1770.0719199999999</v>
      </c>
      <c r="G64" s="4">
        <f t="shared" si="23"/>
        <v>1378.7039199999999</v>
      </c>
      <c r="H64" s="4">
        <f t="shared" si="23"/>
        <v>907.92792000000009</v>
      </c>
      <c r="I64" s="4">
        <f t="shared" si="23"/>
        <v>352.07191999999986</v>
      </c>
      <c r="J64" s="4">
        <f t="shared" si="23"/>
        <v>0</v>
      </c>
      <c r="K64" s="4">
        <f t="shared" si="23"/>
        <v>0</v>
      </c>
      <c r="Q64" s="33" t="s">
        <v>81</v>
      </c>
      <c r="R64" s="33"/>
      <c r="S64" s="33"/>
      <c r="T64" s="33"/>
      <c r="U64" s="33"/>
      <c r="V64" s="33"/>
      <c r="W64" s="33"/>
      <c r="X64" s="33"/>
      <c r="Y64" s="33"/>
      <c r="Z64" s="33"/>
      <c r="AA64" s="33"/>
    </row>
    <row r="65" spans="1:27" x14ac:dyDescent="0.35">
      <c r="A65" t="str">
        <f t="shared" si="19"/>
        <v>Arbeidskorting</v>
      </c>
      <c r="B65" s="4">
        <f t="shared" ref="B65:K65" si="24">IF(B61&lt;9921,0.02812*B61,IF(B61&lt;21430,279+0.28812*(B61-9921),IF(B61&lt;34954,3595+0.01656*(B61-21430),IF(B61&lt;98604,3819-0.06*(B61-34954),0))))</f>
        <v>109.66799999999999</v>
      </c>
      <c r="C65" s="4">
        <f t="shared" si="24"/>
        <v>3606.0952000000002</v>
      </c>
      <c r="D65" s="4">
        <f t="shared" si="24"/>
        <v>3687.2392</v>
      </c>
      <c r="E65" s="4">
        <f t="shared" si="24"/>
        <v>3758.4472000000001</v>
      </c>
      <c r="F65" s="4">
        <f t="shared" si="24"/>
        <v>3678.24</v>
      </c>
      <c r="G65" s="4">
        <f t="shared" si="24"/>
        <v>3264.24</v>
      </c>
      <c r="H65" s="4">
        <f t="shared" si="24"/>
        <v>2766.24</v>
      </c>
      <c r="I65" s="4">
        <f t="shared" si="24"/>
        <v>2178.2399999999998</v>
      </c>
      <c r="J65" s="4">
        <f t="shared" si="24"/>
        <v>1290.2400000000002</v>
      </c>
      <c r="K65" s="4">
        <f t="shared" si="24"/>
        <v>0</v>
      </c>
      <c r="Q65" s="34" t="s">
        <v>119</v>
      </c>
      <c r="R65" s="35">
        <f t="shared" ref="R65:AA65" si="25">B101</f>
        <v>3900</v>
      </c>
      <c r="S65" s="35">
        <f t="shared" si="25"/>
        <v>22100</v>
      </c>
      <c r="T65" s="35">
        <f t="shared" si="25"/>
        <v>27000</v>
      </c>
      <c r="U65" s="35">
        <f t="shared" si="25"/>
        <v>31300</v>
      </c>
      <c r="V65" s="35">
        <f t="shared" si="25"/>
        <v>37300</v>
      </c>
      <c r="W65" s="35">
        <f t="shared" si="25"/>
        <v>44200</v>
      </c>
      <c r="X65" s="35">
        <f t="shared" si="25"/>
        <v>52500</v>
      </c>
      <c r="Y65" s="35">
        <f t="shared" si="25"/>
        <v>62300</v>
      </c>
      <c r="Z65" s="35">
        <f t="shared" si="25"/>
        <v>77100</v>
      </c>
      <c r="AA65" s="35">
        <f t="shared" si="25"/>
        <v>126400</v>
      </c>
    </row>
    <row r="66" spans="1:27" x14ac:dyDescent="0.35">
      <c r="A66" t="str">
        <f t="shared" si="19"/>
        <v>Netto Belasting</v>
      </c>
      <c r="B66" s="4">
        <v>0</v>
      </c>
      <c r="C66" s="4">
        <f t="shared" ref="C66:K66" si="26">C63-C64-C65</f>
        <v>2016.0388799999996</v>
      </c>
      <c r="D66" s="4">
        <f t="shared" si="26"/>
        <v>4042.9728800000003</v>
      </c>
      <c r="E66" s="4">
        <f t="shared" si="26"/>
        <v>5821.7108799999987</v>
      </c>
      <c r="F66" s="4">
        <f t="shared" si="26"/>
        <v>8483.2380799999992</v>
      </c>
      <c r="G66" s="4">
        <f t="shared" si="26"/>
        <v>11865.756080000001</v>
      </c>
      <c r="H66" s="4">
        <f t="shared" si="26"/>
        <v>15934.582079999998</v>
      </c>
      <c r="I66" s="4">
        <f t="shared" si="26"/>
        <v>20738.738080000003</v>
      </c>
      <c r="J66" s="4">
        <f t="shared" si="26"/>
        <v>28550.659499999998</v>
      </c>
      <c r="K66" s="4">
        <f t="shared" si="26"/>
        <v>54244.3995</v>
      </c>
      <c r="M66" s="3">
        <f>($B$29/10)*SUM(B66:K66)</f>
        <v>157299624002.37097</v>
      </c>
      <c r="Q66" s="34" t="str">
        <f>Q62</f>
        <v>Besteedbaar inkomen werkenden</v>
      </c>
      <c r="R66" s="35">
        <f t="shared" ref="R66:AA66" si="27">B67</f>
        <v>3900</v>
      </c>
      <c r="S66" s="35">
        <f t="shared" si="27"/>
        <v>20083.96112</v>
      </c>
      <c r="T66" s="35">
        <f t="shared" si="27"/>
        <v>22957.027119999999</v>
      </c>
      <c r="U66" s="35">
        <f t="shared" si="27"/>
        <v>25478.289120000001</v>
      </c>
      <c r="V66" s="35">
        <f t="shared" si="27"/>
        <v>28816.761920000001</v>
      </c>
      <c r="W66" s="35">
        <f t="shared" si="27"/>
        <v>32334.243920000001</v>
      </c>
      <c r="X66" s="35">
        <f t="shared" si="27"/>
        <v>36565.41792</v>
      </c>
      <c r="Y66" s="35">
        <f t="shared" si="27"/>
        <v>41561.261919999997</v>
      </c>
      <c r="Z66" s="35">
        <f t="shared" si="27"/>
        <v>48549.340500000006</v>
      </c>
      <c r="AA66" s="35">
        <f t="shared" si="27"/>
        <v>72155.6005</v>
      </c>
    </row>
    <row r="67" spans="1:27" x14ac:dyDescent="0.35">
      <c r="A67" t="str">
        <f t="shared" si="19"/>
        <v>Besteedbaar inkomen</v>
      </c>
      <c r="B67" s="4">
        <f>B61-B66</f>
        <v>3900</v>
      </c>
      <c r="C67" s="4">
        <f t="shared" ref="C67:K67" si="28">C61-C66</f>
        <v>20083.96112</v>
      </c>
      <c r="D67" s="4">
        <f t="shared" si="28"/>
        <v>22957.027119999999</v>
      </c>
      <c r="E67" s="4">
        <f t="shared" si="28"/>
        <v>25478.289120000001</v>
      </c>
      <c r="F67" s="4">
        <f t="shared" si="28"/>
        <v>28816.761920000001</v>
      </c>
      <c r="G67" s="4">
        <f t="shared" si="28"/>
        <v>32334.243920000001</v>
      </c>
      <c r="H67" s="4">
        <f t="shared" si="28"/>
        <v>36565.41792</v>
      </c>
      <c r="I67" s="4">
        <f t="shared" si="28"/>
        <v>41561.261919999997</v>
      </c>
      <c r="J67" s="4">
        <f t="shared" si="28"/>
        <v>48549.340500000006</v>
      </c>
      <c r="K67" s="4">
        <f t="shared" si="28"/>
        <v>72155.6005</v>
      </c>
      <c r="Q67" s="34" t="str">
        <f>Q63</f>
        <v>Besteedbaar inkomen gepensioneerden</v>
      </c>
      <c r="R67" s="34"/>
      <c r="S67" s="34"/>
      <c r="T67" s="35">
        <f t="shared" ref="T67:Z67" si="29">D75</f>
        <v>24597.72294</v>
      </c>
      <c r="U67" s="35">
        <f t="shared" si="29"/>
        <v>27934.35094</v>
      </c>
      <c r="V67" s="35">
        <f t="shared" si="29"/>
        <v>32246.346939999999</v>
      </c>
      <c r="W67" s="35">
        <f t="shared" si="29"/>
        <v>34743.370940000001</v>
      </c>
      <c r="X67" s="35">
        <f t="shared" si="29"/>
        <v>39698.138939999997</v>
      </c>
      <c r="Y67" s="35">
        <f t="shared" si="29"/>
        <v>45548.346940000003</v>
      </c>
      <c r="Z67" s="35">
        <f t="shared" si="29"/>
        <v>53592.464999999997</v>
      </c>
      <c r="AA67" s="34"/>
    </row>
    <row r="68" spans="1:27" s="63" customFormat="1" x14ac:dyDescent="0.35">
      <c r="A68" s="63" t="s">
        <v>203</v>
      </c>
      <c r="C68" s="64">
        <f>C67</f>
        <v>20083.96112</v>
      </c>
      <c r="D68" s="64">
        <f t="shared" ref="D68:J68" si="30">D67</f>
        <v>22957.027119999999</v>
      </c>
      <c r="E68" s="64">
        <f t="shared" si="30"/>
        <v>25478.289120000001</v>
      </c>
      <c r="F68" s="64">
        <f t="shared" si="30"/>
        <v>28816.761920000001</v>
      </c>
      <c r="G68" s="64">
        <f t="shared" si="30"/>
        <v>32334.243920000001</v>
      </c>
      <c r="H68" s="64">
        <f t="shared" si="30"/>
        <v>36565.41792</v>
      </c>
      <c r="I68" s="64">
        <f t="shared" si="30"/>
        <v>41561.261919999997</v>
      </c>
      <c r="J68" s="64">
        <f t="shared" si="30"/>
        <v>48549.340500000006</v>
      </c>
      <c r="Q68"/>
      <c r="R68"/>
      <c r="S68"/>
      <c r="T68"/>
      <c r="U68"/>
      <c r="V68"/>
      <c r="W68"/>
      <c r="X68"/>
      <c r="Y68"/>
      <c r="Z68"/>
      <c r="AA68"/>
    </row>
    <row r="69" spans="1:27" x14ac:dyDescent="0.35">
      <c r="A69" t="s">
        <v>30</v>
      </c>
    </row>
    <row r="70" spans="1:27" x14ac:dyDescent="0.35">
      <c r="A70" t="s">
        <v>16</v>
      </c>
      <c r="D70" s="4">
        <f>D61</f>
        <v>27000</v>
      </c>
      <c r="E70" s="4">
        <f t="shared" ref="E70:J70" si="31">E61</f>
        <v>31300</v>
      </c>
      <c r="F70" s="4">
        <f t="shared" si="31"/>
        <v>37300</v>
      </c>
      <c r="G70" s="4">
        <f t="shared" si="31"/>
        <v>44200</v>
      </c>
      <c r="H70" s="4">
        <f t="shared" si="31"/>
        <v>52500</v>
      </c>
      <c r="I70" s="4">
        <f t="shared" si="31"/>
        <v>62300</v>
      </c>
      <c r="J70" s="4">
        <f t="shared" si="31"/>
        <v>77100</v>
      </c>
      <c r="K70" s="4"/>
    </row>
    <row r="71" spans="1:27" x14ac:dyDescent="0.35">
      <c r="A71" t="s">
        <v>31</v>
      </c>
      <c r="D71" s="4">
        <f>IF(D70&lt;35376,19.45%*D70,IF(D70&lt;68507,6880+(D70-35376)*37.35%,6880+12374+(D70-68507)*49.5%))</f>
        <v>5251.5</v>
      </c>
      <c r="E71" s="4">
        <f t="shared" ref="E71:J71" si="32">IF(E70&lt;35376,19.45%*E70,IF(E70&lt;68507,6880+(E70-35376)*37.35%,6880+12374+(E70-68507)*49.5%))</f>
        <v>6087.85</v>
      </c>
      <c r="F71" s="4">
        <f t="shared" si="32"/>
        <v>7598.6139999999996</v>
      </c>
      <c r="G71" s="4">
        <f t="shared" si="32"/>
        <v>10175.763999999999</v>
      </c>
      <c r="H71" s="4">
        <f t="shared" si="32"/>
        <v>13275.814</v>
      </c>
      <c r="I71" s="4">
        <f t="shared" si="32"/>
        <v>16936.114000000001</v>
      </c>
      <c r="J71" s="4">
        <f t="shared" si="32"/>
        <v>23507.535</v>
      </c>
      <c r="K71" s="4"/>
    </row>
    <row r="72" spans="1:27" x14ac:dyDescent="0.35">
      <c r="A72" t="s">
        <v>21</v>
      </c>
      <c r="D72" s="4">
        <f t="shared" ref="D72:J72" si="33">IF(D70&lt;20711,1413,IF(D70&lt;68507,(1413-0.02954*(D70-20711)),0))</f>
        <v>1227.2229400000001</v>
      </c>
      <c r="E72" s="4">
        <f t="shared" si="33"/>
        <v>1100.2009399999999</v>
      </c>
      <c r="F72" s="4">
        <f t="shared" si="33"/>
        <v>922.96093999999994</v>
      </c>
      <c r="G72" s="4">
        <f t="shared" si="33"/>
        <v>719.13494000000003</v>
      </c>
      <c r="H72" s="4">
        <f t="shared" si="33"/>
        <v>473.95294000000001</v>
      </c>
      <c r="I72" s="4">
        <f t="shared" si="33"/>
        <v>184.46093999999994</v>
      </c>
      <c r="J72" s="4">
        <f t="shared" si="33"/>
        <v>0</v>
      </c>
    </row>
    <row r="73" spans="1:27" x14ac:dyDescent="0.35">
      <c r="A73" t="s">
        <v>35</v>
      </c>
      <c r="D73">
        <f t="shared" ref="D73:J73" si="34">IF(D70&lt;37372,1622,IF(D70&lt;37372,1622-0.15*(D70-37372),0))</f>
        <v>1622</v>
      </c>
      <c r="E73">
        <f t="shared" si="34"/>
        <v>1622</v>
      </c>
      <c r="F73">
        <f t="shared" si="34"/>
        <v>1622</v>
      </c>
      <c r="G73">
        <f t="shared" si="34"/>
        <v>0</v>
      </c>
      <c r="H73">
        <f t="shared" si="34"/>
        <v>0</v>
      </c>
      <c r="I73">
        <f t="shared" si="34"/>
        <v>0</v>
      </c>
      <c r="J73">
        <f t="shared" si="34"/>
        <v>0</v>
      </c>
      <c r="Q73" t="s">
        <v>125</v>
      </c>
    </row>
    <row r="74" spans="1:27" x14ac:dyDescent="0.35">
      <c r="A74" t="s">
        <v>24</v>
      </c>
      <c r="D74" s="4">
        <f t="shared" ref="D74:J74" si="35">IF(D71-D72-D73&lt;0,0,D71-D72-D73)</f>
        <v>2402.2770599999999</v>
      </c>
      <c r="E74" s="4">
        <f t="shared" si="35"/>
        <v>3365.6490600000006</v>
      </c>
      <c r="F74" s="4">
        <f t="shared" si="35"/>
        <v>5053.6530599999996</v>
      </c>
      <c r="G74" s="4">
        <f t="shared" si="35"/>
        <v>9456.6290599999993</v>
      </c>
      <c r="H74" s="4">
        <f t="shared" si="35"/>
        <v>12801.861060000001</v>
      </c>
      <c r="I74" s="4">
        <f t="shared" si="35"/>
        <v>16751.653060000001</v>
      </c>
      <c r="J74" s="4">
        <f t="shared" si="35"/>
        <v>23507.535</v>
      </c>
      <c r="M74" s="3">
        <f>($B$28/7)*SUM(D74:J74)</f>
        <v>32699565138.367886</v>
      </c>
      <c r="Q74" s="6" t="s">
        <v>19</v>
      </c>
      <c r="R74" s="6">
        <v>1</v>
      </c>
      <c r="S74" s="6">
        <v>2</v>
      </c>
      <c r="T74" s="6">
        <v>3</v>
      </c>
      <c r="U74" s="6">
        <v>4</v>
      </c>
      <c r="V74" s="6">
        <v>5</v>
      </c>
      <c r="W74" s="6">
        <v>6</v>
      </c>
      <c r="X74" s="6">
        <v>7</v>
      </c>
      <c r="Y74" s="6">
        <v>8</v>
      </c>
      <c r="Z74" s="6">
        <v>9</v>
      </c>
      <c r="AA74" s="6">
        <v>10</v>
      </c>
    </row>
    <row r="75" spans="1:27" x14ac:dyDescent="0.35">
      <c r="A75" t="s">
        <v>25</v>
      </c>
      <c r="D75" s="4">
        <f>D70-D74</f>
        <v>24597.72294</v>
      </c>
      <c r="E75" s="4">
        <f t="shared" ref="E75:J75" si="36">E70-E74</f>
        <v>27934.35094</v>
      </c>
      <c r="F75" s="4">
        <f t="shared" si="36"/>
        <v>32246.346939999999</v>
      </c>
      <c r="G75" s="4">
        <f t="shared" si="36"/>
        <v>34743.370940000001</v>
      </c>
      <c r="H75" s="4">
        <f t="shared" si="36"/>
        <v>39698.138939999997</v>
      </c>
      <c r="I75" s="4">
        <f t="shared" si="36"/>
        <v>45548.346940000003</v>
      </c>
      <c r="J75" s="4">
        <f t="shared" si="36"/>
        <v>53592.464999999997</v>
      </c>
      <c r="Q75" s="31" t="s">
        <v>121</v>
      </c>
      <c r="R75" s="6"/>
      <c r="S75" s="6"/>
      <c r="T75" s="6"/>
      <c r="U75" s="6"/>
      <c r="V75" s="6"/>
      <c r="W75" s="6"/>
      <c r="X75" s="6"/>
      <c r="Y75" s="6"/>
      <c r="Z75" s="6"/>
      <c r="AA75" s="6"/>
    </row>
    <row r="76" spans="1:27" x14ac:dyDescent="0.35">
      <c r="Q76" s="6" t="s">
        <v>119</v>
      </c>
      <c r="R76" s="32">
        <f t="shared" ref="R76:AA76" si="37">B35</f>
        <v>2400</v>
      </c>
      <c r="S76" s="32">
        <f t="shared" si="37"/>
        <v>9500</v>
      </c>
      <c r="T76" s="32">
        <f t="shared" si="37"/>
        <v>14400</v>
      </c>
      <c r="U76" s="32">
        <f t="shared" si="37"/>
        <v>18700</v>
      </c>
      <c r="V76" s="32">
        <f t="shared" si="37"/>
        <v>24700</v>
      </c>
      <c r="W76" s="32">
        <f t="shared" si="37"/>
        <v>31600</v>
      </c>
      <c r="X76" s="32">
        <f t="shared" si="37"/>
        <v>39900</v>
      </c>
      <c r="Y76" s="32">
        <f t="shared" si="37"/>
        <v>49700</v>
      </c>
      <c r="Z76" s="32">
        <f t="shared" si="37"/>
        <v>64500</v>
      </c>
      <c r="AA76" s="32">
        <f t="shared" si="37"/>
        <v>113800</v>
      </c>
    </row>
    <row r="77" spans="1:27" x14ac:dyDescent="0.35">
      <c r="A77" t="s">
        <v>32</v>
      </c>
      <c r="M77" s="3">
        <f>SUM(M66:M75)</f>
        <v>189999189140.73886</v>
      </c>
      <c r="Q77" s="6" t="s">
        <v>82</v>
      </c>
      <c r="R77" s="32">
        <f t="shared" ref="R77:AA77" si="38">B41</f>
        <v>2400</v>
      </c>
      <c r="S77" s="32">
        <f t="shared" si="38"/>
        <v>8929.89</v>
      </c>
      <c r="T77" s="32">
        <f t="shared" si="38"/>
        <v>13302.089480000001</v>
      </c>
      <c r="U77" s="32">
        <f t="shared" si="38"/>
        <v>17234.955480000001</v>
      </c>
      <c r="V77" s="32">
        <f t="shared" si="38"/>
        <v>21608.44512</v>
      </c>
      <c r="W77" s="32">
        <f t="shared" si="38"/>
        <v>25654.19112</v>
      </c>
      <c r="X77" s="32">
        <f t="shared" si="38"/>
        <v>30142.189920000001</v>
      </c>
      <c r="Y77" s="32">
        <f t="shared" si="38"/>
        <v>35138.033920000002</v>
      </c>
      <c r="Z77" s="32">
        <f t="shared" si="38"/>
        <v>42682.77792</v>
      </c>
      <c r="AA77" s="32">
        <f t="shared" si="38"/>
        <v>65792.6005</v>
      </c>
    </row>
    <row r="78" spans="1:27" x14ac:dyDescent="0.35">
      <c r="A78" s="6" t="s">
        <v>36</v>
      </c>
      <c r="M78" s="22">
        <f>M77-M52</f>
        <v>60605411138.145935</v>
      </c>
      <c r="Q78" s="6" t="s">
        <v>80</v>
      </c>
      <c r="R78" s="6" t="s">
        <v>123</v>
      </c>
      <c r="S78" s="6" t="s">
        <v>123</v>
      </c>
      <c r="T78" s="32">
        <f t="shared" ref="T78:Z78" si="39">D50</f>
        <v>14400</v>
      </c>
      <c r="U78" s="32">
        <f t="shared" si="39"/>
        <v>18097.849999999999</v>
      </c>
      <c r="V78" s="32">
        <f t="shared" si="39"/>
        <v>22813.014940000001</v>
      </c>
      <c r="W78" s="32">
        <f t="shared" si="39"/>
        <v>28167.138940000001</v>
      </c>
      <c r="X78" s="32">
        <f t="shared" si="39"/>
        <v>32176.442940000001</v>
      </c>
      <c r="Y78" s="32">
        <f t="shared" si="39"/>
        <v>38026.65094</v>
      </c>
      <c r="Z78" s="32">
        <f t="shared" si="39"/>
        <v>46861.658940000001</v>
      </c>
      <c r="AA78" s="32" t="s">
        <v>123</v>
      </c>
    </row>
    <row r="79" spans="1:27" x14ac:dyDescent="0.35">
      <c r="Q79" s="28" t="s">
        <v>122</v>
      </c>
      <c r="R79" s="29"/>
      <c r="S79" s="29"/>
      <c r="T79" s="29"/>
      <c r="U79" s="29"/>
      <c r="V79" s="29"/>
      <c r="W79" s="29"/>
      <c r="X79" s="29"/>
      <c r="Y79" s="29"/>
      <c r="Z79" s="29"/>
      <c r="AA79" s="29" t="s">
        <v>123</v>
      </c>
    </row>
    <row r="80" spans="1:27" x14ac:dyDescent="0.35">
      <c r="A80" t="s">
        <v>37</v>
      </c>
      <c r="Q80" s="29" t="s">
        <v>119</v>
      </c>
      <c r="R80" s="30">
        <f t="shared" ref="R80:AA80" si="40">B101</f>
        <v>3900</v>
      </c>
      <c r="S80" s="30">
        <f t="shared" si="40"/>
        <v>22100</v>
      </c>
      <c r="T80" s="30">
        <f t="shared" si="40"/>
        <v>27000</v>
      </c>
      <c r="U80" s="30">
        <f t="shared" si="40"/>
        <v>31300</v>
      </c>
      <c r="V80" s="30">
        <f t="shared" si="40"/>
        <v>37300</v>
      </c>
      <c r="W80" s="30">
        <f t="shared" si="40"/>
        <v>44200</v>
      </c>
      <c r="X80" s="30">
        <f t="shared" si="40"/>
        <v>52500</v>
      </c>
      <c r="Y80" s="30">
        <f t="shared" si="40"/>
        <v>62300</v>
      </c>
      <c r="Z80" s="30">
        <f t="shared" si="40"/>
        <v>77100</v>
      </c>
      <c r="AA80" s="30">
        <f t="shared" si="40"/>
        <v>126400</v>
      </c>
    </row>
    <row r="81" spans="1:27" x14ac:dyDescent="0.35">
      <c r="A81" t="s">
        <v>38</v>
      </c>
      <c r="B81" s="4">
        <f t="shared" ref="B81:K81" si="41">B67-B41</f>
        <v>1500</v>
      </c>
      <c r="C81" s="4">
        <f t="shared" si="41"/>
        <v>11154.071120000001</v>
      </c>
      <c r="D81" s="4">
        <f t="shared" si="41"/>
        <v>9654.9376399999983</v>
      </c>
      <c r="E81" s="4">
        <f t="shared" si="41"/>
        <v>8243.3336400000007</v>
      </c>
      <c r="F81" s="4">
        <f t="shared" si="41"/>
        <v>7208.3168000000005</v>
      </c>
      <c r="G81" s="4">
        <f t="shared" si="41"/>
        <v>6680.0528000000013</v>
      </c>
      <c r="H81" s="4">
        <f t="shared" si="41"/>
        <v>6423.2279999999992</v>
      </c>
      <c r="I81" s="4">
        <f t="shared" si="41"/>
        <v>6423.2279999999955</v>
      </c>
      <c r="J81" s="4">
        <f t="shared" si="41"/>
        <v>5866.5625800000053</v>
      </c>
      <c r="K81" s="4">
        <f t="shared" si="41"/>
        <v>6363</v>
      </c>
      <c r="Q81" s="29" t="s">
        <v>82</v>
      </c>
      <c r="R81" s="30">
        <f t="shared" ref="R81:AA81" si="42">B106</f>
        <v>3900</v>
      </c>
      <c r="S81" s="30">
        <f t="shared" si="42"/>
        <v>18714</v>
      </c>
      <c r="T81" s="30">
        <f t="shared" si="42"/>
        <v>21066</v>
      </c>
      <c r="U81" s="30">
        <f t="shared" si="42"/>
        <v>23130</v>
      </c>
      <c r="V81" s="30">
        <f t="shared" si="42"/>
        <v>25776</v>
      </c>
      <c r="W81" s="30">
        <f t="shared" si="42"/>
        <v>27846</v>
      </c>
      <c r="X81" s="30">
        <f t="shared" si="42"/>
        <v>30336</v>
      </c>
      <c r="Y81" s="30">
        <f t="shared" si="42"/>
        <v>33276</v>
      </c>
      <c r="Z81" s="30">
        <f t="shared" si="42"/>
        <v>35901</v>
      </c>
      <c r="AA81" s="30">
        <f t="shared" si="42"/>
        <v>43296</v>
      </c>
    </row>
    <row r="82" spans="1:27" x14ac:dyDescent="0.35">
      <c r="A82" t="s">
        <v>39</v>
      </c>
      <c r="D82" s="4">
        <f t="shared" ref="D82:I82" si="43">D75-D50</f>
        <v>10197.72294</v>
      </c>
      <c r="E82" s="4">
        <f t="shared" si="43"/>
        <v>9836.5009400000017</v>
      </c>
      <c r="F82" s="4">
        <f t="shared" si="43"/>
        <v>9433.3319999999985</v>
      </c>
      <c r="G82" s="4">
        <f t="shared" si="43"/>
        <v>6576.232</v>
      </c>
      <c r="H82" s="4">
        <f t="shared" si="43"/>
        <v>7521.6959999999963</v>
      </c>
      <c r="I82" s="4">
        <f t="shared" si="43"/>
        <v>7521.6960000000036</v>
      </c>
      <c r="J82" s="4"/>
      <c r="K82" s="4"/>
      <c r="Q82" s="29" t="s">
        <v>80</v>
      </c>
      <c r="R82" s="29" t="s">
        <v>123</v>
      </c>
      <c r="S82" s="29" t="s">
        <v>123</v>
      </c>
      <c r="T82" s="30">
        <f t="shared" ref="T82:Z82" si="44">D111</f>
        <v>21066</v>
      </c>
      <c r="U82" s="30">
        <f t="shared" si="44"/>
        <v>23130</v>
      </c>
      <c r="V82" s="30">
        <f t="shared" si="44"/>
        <v>25776</v>
      </c>
      <c r="W82" s="30">
        <f t="shared" si="44"/>
        <v>27846</v>
      </c>
      <c r="X82" s="30">
        <f t="shared" si="44"/>
        <v>30336</v>
      </c>
      <c r="Y82" s="30">
        <f t="shared" si="44"/>
        <v>33276</v>
      </c>
      <c r="Z82" s="30">
        <f t="shared" si="44"/>
        <v>35901</v>
      </c>
      <c r="AA82" s="30" t="s">
        <v>123</v>
      </c>
    </row>
    <row r="84" spans="1:27" x14ac:dyDescent="0.35">
      <c r="A84" t="s">
        <v>40</v>
      </c>
    </row>
    <row r="85" spans="1:27" x14ac:dyDescent="0.35">
      <c r="A85" t="s">
        <v>38</v>
      </c>
      <c r="B85" s="4">
        <f t="shared" ref="B85:K85" si="45">B66-B40</f>
        <v>0</v>
      </c>
      <c r="C85" s="4">
        <f t="shared" si="45"/>
        <v>1445.9288799999995</v>
      </c>
      <c r="D85" s="4">
        <f t="shared" si="45"/>
        <v>2945.0623600000008</v>
      </c>
      <c r="E85" s="4">
        <f t="shared" si="45"/>
        <v>4356.6663599999993</v>
      </c>
      <c r="F85" s="4">
        <f t="shared" si="45"/>
        <v>5391.6831999999977</v>
      </c>
      <c r="G85" s="4">
        <f t="shared" si="45"/>
        <v>5919.9472000000005</v>
      </c>
      <c r="H85" s="4">
        <f t="shared" si="45"/>
        <v>6176.771999999999</v>
      </c>
      <c r="I85" s="4">
        <f t="shared" si="45"/>
        <v>6176.7720000000027</v>
      </c>
      <c r="J85" s="4">
        <f t="shared" si="45"/>
        <v>6733.4374199999984</v>
      </c>
      <c r="K85" s="4">
        <f t="shared" si="45"/>
        <v>6237</v>
      </c>
    </row>
    <row r="86" spans="1:27" x14ac:dyDescent="0.35">
      <c r="A86" t="s">
        <v>39</v>
      </c>
      <c r="D86" s="4">
        <f t="shared" ref="D86:I86" si="46">D74-D49</f>
        <v>2402.2770599999999</v>
      </c>
      <c r="E86" s="4">
        <f t="shared" si="46"/>
        <v>2763.4990600000006</v>
      </c>
      <c r="F86" s="4">
        <f t="shared" si="46"/>
        <v>3166.6679999999992</v>
      </c>
      <c r="G86" s="4">
        <f t="shared" si="46"/>
        <v>6023.768</v>
      </c>
      <c r="H86" s="4">
        <f t="shared" si="46"/>
        <v>5078.304000000001</v>
      </c>
      <c r="I86" s="4">
        <f t="shared" si="46"/>
        <v>5078.3040000000019</v>
      </c>
    </row>
    <row r="87" spans="1:27" x14ac:dyDescent="0.35">
      <c r="A87" s="8" t="s">
        <v>42</v>
      </c>
    </row>
    <row r="88" spans="1:27" x14ac:dyDescent="0.35">
      <c r="A88" s="8" t="s">
        <v>43</v>
      </c>
    </row>
    <row r="89" spans="1:27" x14ac:dyDescent="0.35">
      <c r="A89" s="8" t="s">
        <v>45</v>
      </c>
    </row>
    <row r="90" spans="1:27" x14ac:dyDescent="0.35">
      <c r="A90" s="8" t="s">
        <v>44</v>
      </c>
    </row>
    <row r="91" spans="1:27" x14ac:dyDescent="0.35">
      <c r="A91" s="8" t="s">
        <v>104</v>
      </c>
    </row>
    <row r="92" spans="1:27" x14ac:dyDescent="0.35">
      <c r="A92" s="8"/>
    </row>
    <row r="93" spans="1:27" x14ac:dyDescent="0.35">
      <c r="A93" s="1" t="s">
        <v>46</v>
      </c>
    </row>
    <row r="94" spans="1:27" x14ac:dyDescent="0.35">
      <c r="A94" s="9" t="s">
        <v>47</v>
      </c>
    </row>
    <row r="95" spans="1:27" x14ac:dyDescent="0.35">
      <c r="A95" t="s">
        <v>48</v>
      </c>
      <c r="C95">
        <v>12600</v>
      </c>
      <c r="E95">
        <v>20000</v>
      </c>
      <c r="G95">
        <v>36000</v>
      </c>
      <c r="I95">
        <v>65000</v>
      </c>
    </row>
    <row r="96" spans="1:27" x14ac:dyDescent="0.35">
      <c r="A96" t="s">
        <v>49</v>
      </c>
      <c r="B96" s="10">
        <v>0</v>
      </c>
      <c r="D96" s="11">
        <v>0.31</v>
      </c>
      <c r="F96" s="11">
        <v>0.52</v>
      </c>
      <c r="H96" s="11">
        <v>0.7</v>
      </c>
      <c r="J96" s="11">
        <v>0.85</v>
      </c>
    </row>
    <row r="97" spans="1:14" x14ac:dyDescent="0.35">
      <c r="A97" t="s">
        <v>66</v>
      </c>
      <c r="C97" s="4">
        <f>C95*B96</f>
        <v>0</v>
      </c>
      <c r="D97" s="4"/>
      <c r="E97" s="4">
        <f>(E95-C95)*D96+C97</f>
        <v>2294</v>
      </c>
      <c r="G97" s="4">
        <f>E97+(G95-E95)*F96</f>
        <v>10614</v>
      </c>
      <c r="I97" s="4">
        <f>G97+(I95-G95)*H96</f>
        <v>30914</v>
      </c>
    </row>
    <row r="98" spans="1:14" x14ac:dyDescent="0.35">
      <c r="C98" s="4"/>
      <c r="D98" s="4"/>
      <c r="E98" s="4"/>
      <c r="G98" s="4"/>
      <c r="I98" s="4"/>
    </row>
    <row r="99" spans="1:14" x14ac:dyDescent="0.35">
      <c r="A99" t="s">
        <v>22</v>
      </c>
    </row>
    <row r="100" spans="1:14" x14ac:dyDescent="0.35">
      <c r="A100" t="s">
        <v>19</v>
      </c>
      <c r="B100">
        <v>1</v>
      </c>
      <c r="C100">
        <v>2</v>
      </c>
      <c r="D100">
        <v>3</v>
      </c>
      <c r="E100">
        <v>4</v>
      </c>
      <c r="F100">
        <v>5</v>
      </c>
      <c r="G100">
        <v>6</v>
      </c>
      <c r="H100">
        <v>7</v>
      </c>
      <c r="I100">
        <v>8</v>
      </c>
      <c r="J100">
        <v>9</v>
      </c>
      <c r="K100">
        <v>10</v>
      </c>
    </row>
    <row r="101" spans="1:14" x14ac:dyDescent="0.35">
      <c r="A101" t="str">
        <f t="shared" ref="A101:K101" si="47">A61</f>
        <v>Midden deciel + Basisinkomen</v>
      </c>
      <c r="B101" s="4">
        <f t="shared" si="47"/>
        <v>3900</v>
      </c>
      <c r="C101" s="4">
        <f t="shared" si="47"/>
        <v>22100</v>
      </c>
      <c r="D101" s="4">
        <f t="shared" si="47"/>
        <v>27000</v>
      </c>
      <c r="E101" s="4">
        <f t="shared" si="47"/>
        <v>31300</v>
      </c>
      <c r="F101" s="4">
        <f t="shared" si="47"/>
        <v>37300</v>
      </c>
      <c r="G101" s="4">
        <f t="shared" si="47"/>
        <v>44200</v>
      </c>
      <c r="H101" s="4">
        <f>H61</f>
        <v>52500</v>
      </c>
      <c r="I101" s="4">
        <f t="shared" si="47"/>
        <v>62300</v>
      </c>
      <c r="J101" s="4">
        <f t="shared" si="47"/>
        <v>77100</v>
      </c>
      <c r="K101" s="4">
        <f t="shared" si="47"/>
        <v>126400</v>
      </c>
    </row>
    <row r="102" spans="1:14" x14ac:dyDescent="0.35">
      <c r="A102" t="s">
        <v>50</v>
      </c>
      <c r="B102" s="4">
        <f>IF(B101&lt;C95,B96*B101,IF(B101&lt;E95,(B101-C95)*D96+C95*B96,IF(B101&lt;G95,(B101-E95)*F96+(E95-C95)*D96+C95*B96,IF(B101&lt;I95,(B101-G95)*H96+(G95-E95)*F96+(E95-C95)*D96+C95*B96,(B101-I95)*J96+(I95-G95)*H96+(G95-E95)*F96+(E95-C95)*D96+C95*B96))))</f>
        <v>0</v>
      </c>
      <c r="C102" s="4">
        <f t="shared" ref="C102:K102" si="48">IF(C101&lt;$C$95,$B$96*C101,IF(C101&lt;$E$95,(C101-$C$95)*$D$96+$C$95*$B$96,IF(C101&lt;$G$95,(C101-$E$95)*$F$96+($E$95-$C$95)*$D$96+$C$95*$B$96,IF(C101&lt;$I$95,(C101-$G$95)*$H$96+($G$95-$E$95)*$F$96+($E$95-$C$95)*$D$96+$C$95*$B$96,(C101-$I$95)*$J$96+($I$95-$G$95)*$H$96+($G$95-$E$95)*$F$96+($E$95-$C$95)*$D$96+$C$95*$B$96))))</f>
        <v>3386</v>
      </c>
      <c r="D102" s="4">
        <f t="shared" si="48"/>
        <v>5934</v>
      </c>
      <c r="E102" s="4">
        <f t="shared" si="48"/>
        <v>8170</v>
      </c>
      <c r="F102" s="4">
        <f t="shared" si="48"/>
        <v>11524</v>
      </c>
      <c r="G102" s="4">
        <f t="shared" si="48"/>
        <v>16354</v>
      </c>
      <c r="H102" s="4">
        <f t="shared" si="48"/>
        <v>22164</v>
      </c>
      <c r="I102" s="4">
        <f t="shared" si="48"/>
        <v>29024</v>
      </c>
      <c r="J102" s="4">
        <f t="shared" si="48"/>
        <v>41199</v>
      </c>
      <c r="K102" s="4">
        <f t="shared" si="48"/>
        <v>83104</v>
      </c>
      <c r="L102">
        <f>IF(L101&lt;M95,L96*L101,IF(L101&lt;O95,(L101-M95)*N96+M95*L96,IF(L101&lt;Q95,(L101-O95)*P96+(O95-M95)*N96+M95*L96,IF(L101&lt;S95,(L101-Q95)*R96+(Q95-O95)*P96+(O95-M95)*N96+M95*L96,(L101-S95)*T96+(S95-Q95)*R96+(Q95-O95)*P96+(O95-M95)*N96+M95*L96))))</f>
        <v>0</v>
      </c>
      <c r="M102" s="3">
        <f>($B$29/10)*SUM(B102:K102)</f>
        <v>229014329004.5</v>
      </c>
      <c r="N102" s="3"/>
    </row>
    <row r="103" spans="1:14" x14ac:dyDescent="0.35">
      <c r="A103" t="s">
        <v>126</v>
      </c>
      <c r="B103" s="4"/>
      <c r="C103" s="4"/>
      <c r="D103" s="4">
        <f>IF(D101&lt;G95,(E97+(D101-E95)*F96))</f>
        <v>5934</v>
      </c>
      <c r="E103" s="4"/>
      <c r="F103" s="4"/>
      <c r="G103" s="4"/>
      <c r="H103" s="4">
        <f>IF(H101&lt;I95,G97+(H101-G95)*H96)</f>
        <v>22164</v>
      </c>
      <c r="I103" s="4">
        <f>IF(I101&lt;I95,G97+(I101-G95)*H96)</f>
        <v>29024</v>
      </c>
      <c r="J103" s="4"/>
      <c r="K103" s="4">
        <f>(I97+(K101-I95)*J96)</f>
        <v>83104</v>
      </c>
      <c r="M103" s="3"/>
      <c r="N103" s="3"/>
    </row>
    <row r="104" spans="1:14" x14ac:dyDescent="0.35">
      <c r="A104" t="s">
        <v>51</v>
      </c>
      <c r="B104" s="4"/>
      <c r="C104" s="4"/>
      <c r="D104" s="4"/>
      <c r="E104" s="4"/>
      <c r="F104" s="4"/>
      <c r="G104" s="4"/>
      <c r="H104" s="4"/>
      <c r="I104" s="4"/>
      <c r="J104" s="4"/>
      <c r="K104" s="4"/>
    </row>
    <row r="105" spans="1:14" x14ac:dyDescent="0.35">
      <c r="A105" t="s">
        <v>53</v>
      </c>
      <c r="B105" s="4">
        <f>B102-B104</f>
        <v>0</v>
      </c>
      <c r="C105" s="4">
        <f t="shared" ref="C105:K105" si="49">C102-C104</f>
        <v>3386</v>
      </c>
      <c r="D105" s="4">
        <f t="shared" si="49"/>
        <v>5934</v>
      </c>
      <c r="E105" s="4">
        <f t="shared" si="49"/>
        <v>8170</v>
      </c>
      <c r="F105" s="4">
        <f t="shared" si="49"/>
        <v>11524</v>
      </c>
      <c r="G105" s="4">
        <f t="shared" si="49"/>
        <v>16354</v>
      </c>
      <c r="H105" s="4">
        <f t="shared" si="49"/>
        <v>22164</v>
      </c>
      <c r="I105" s="4">
        <f t="shared" si="49"/>
        <v>29024</v>
      </c>
      <c r="J105" s="4">
        <f t="shared" si="49"/>
        <v>41199</v>
      </c>
      <c r="K105" s="4">
        <f t="shared" si="49"/>
        <v>83104</v>
      </c>
    </row>
    <row r="106" spans="1:14" x14ac:dyDescent="0.35">
      <c r="A106" t="s">
        <v>204</v>
      </c>
      <c r="B106" s="4">
        <f>B101-B105</f>
        <v>3900</v>
      </c>
      <c r="C106" s="4">
        <f t="shared" ref="C106:K106" si="50">C101-C105</f>
        <v>18714</v>
      </c>
      <c r="D106" s="4">
        <f t="shared" si="50"/>
        <v>21066</v>
      </c>
      <c r="E106" s="4">
        <f t="shared" si="50"/>
        <v>23130</v>
      </c>
      <c r="F106" s="4">
        <f t="shared" si="50"/>
        <v>25776</v>
      </c>
      <c r="G106" s="4">
        <f t="shared" si="50"/>
        <v>27846</v>
      </c>
      <c r="H106" s="4">
        <f t="shared" si="50"/>
        <v>30336</v>
      </c>
      <c r="I106" s="4">
        <f t="shared" si="50"/>
        <v>33276</v>
      </c>
      <c r="J106" s="4">
        <f t="shared" si="50"/>
        <v>35901</v>
      </c>
      <c r="K106" s="4">
        <f t="shared" si="50"/>
        <v>43296</v>
      </c>
      <c r="L106" s="4"/>
    </row>
    <row r="107" spans="1:14" s="63" customFormat="1" x14ac:dyDescent="0.35">
      <c r="A107" s="63" t="s">
        <v>203</v>
      </c>
      <c r="C107" s="64">
        <f>C106</f>
        <v>18714</v>
      </c>
      <c r="D107" s="64">
        <f t="shared" ref="D107:J107" si="51">D106</f>
        <v>21066</v>
      </c>
      <c r="E107" s="64">
        <f t="shared" si="51"/>
        <v>23130</v>
      </c>
      <c r="F107" s="64">
        <f t="shared" si="51"/>
        <v>25776</v>
      </c>
      <c r="G107" s="64">
        <f t="shared" si="51"/>
        <v>27846</v>
      </c>
      <c r="H107" s="64">
        <f t="shared" si="51"/>
        <v>30336</v>
      </c>
      <c r="I107" s="64">
        <f t="shared" si="51"/>
        <v>33276</v>
      </c>
      <c r="J107" s="64">
        <f t="shared" si="51"/>
        <v>35901</v>
      </c>
      <c r="K107" s="64"/>
    </row>
    <row r="108" spans="1:14" x14ac:dyDescent="0.35">
      <c r="A108" t="s">
        <v>61</v>
      </c>
    </row>
    <row r="109" spans="1:14" x14ac:dyDescent="0.35">
      <c r="A109" t="s">
        <v>60</v>
      </c>
      <c r="D109" s="4">
        <f t="shared" ref="D109:J109" si="52">D70</f>
        <v>27000</v>
      </c>
      <c r="E109" s="4">
        <f t="shared" si="52"/>
        <v>31300</v>
      </c>
      <c r="F109" s="4">
        <f t="shared" si="52"/>
        <v>37300</v>
      </c>
      <c r="G109" s="4">
        <f t="shared" si="52"/>
        <v>44200</v>
      </c>
      <c r="H109" s="4">
        <f t="shared" si="52"/>
        <v>52500</v>
      </c>
      <c r="I109" s="4">
        <f t="shared" si="52"/>
        <v>62300</v>
      </c>
      <c r="J109" s="4">
        <f t="shared" si="52"/>
        <v>77100</v>
      </c>
    </row>
    <row r="110" spans="1:14" x14ac:dyDescent="0.35">
      <c r="A110" t="s">
        <v>50</v>
      </c>
      <c r="D110" s="4">
        <f>IF(D109&lt;$C$95,$B$96*D109,IF(D109&lt;$E$95,(D109-$C$95)*$D$96+$C$95*$B$96,IF(D109&lt;$G$95,(D109-$E$95)*$F$96+($E$95-$C$95)*$D$96+$C$95*$B$96,IF(D109&lt;$I$95,(D109-$G$95)*$H$96+($G$95-$E$95)*$F$96+($E$95-$C$95)*$D$96+$C$95*$B$96,(D109-$I$95)*$J$96+(D102-B102)*C104+($G$95-$E$95)*$F$96+($E$95-$C$95)*$D$96+$C$95*$B$96))))</f>
        <v>5934</v>
      </c>
      <c r="E110" s="4">
        <f>IF(E109&lt;$C$95,$B$96*E109,IF(E109&lt;$E$95,(E109-$C$95)*$D$96+$C$95*$B$96,IF(E109&lt;$G$95,(E109-$E$95)*$F$96+($E$95-$C$95)*$D$96+$C$95*$B$96,IF(E109&lt;$I$95,(E109-$G$95)*$H$96+($G$95-$E$95)*$F$96+($E$95-$C$95)*$D$96+$C$95*$B$96,(E109-$I$95)*$J$96+(E102-C102)*D104+($G$95-$E$95)*$F$96+($E$95-$C$95)*$D$96+$C$95*$B$96))))</f>
        <v>8170</v>
      </c>
      <c r="F110" s="4">
        <f>IF(F109&lt;$C$95,$B$96*F109,IF(F109&lt;$E$95,(F109-$C$95)*$D$96+$C$95*$B$96,IF(F109&lt;$G$95,(F109-$E$95)*$F$96+($E$95-$C$95)*$D$96+$C$95*$B$96,IF(F109&lt;$I$95,(F109-$G$95)*$H$96+($G$95-$E$95)*$F$96+($E$95-$C$95)*$D$96+$C$95*$B$96,(F109-$I$95)*$J$96+(F102-D102)*E104+($G$95-$E$95)*$F$96+($E$95-$C$95)*$D$96+$C$95*$B$96))))</f>
        <v>11524</v>
      </c>
      <c r="G110" s="4">
        <f>IF(G109&lt;$C$95,$B$96*G109,IF(G109&lt;$E$95,(G109-$C$95)*$D$96+$C$95*$B$96,IF(G109&lt;$G$95,(G109-$E$95)*$F$96+($E$95-$C$95)*$D$96+$C$95*$B$96,IF(G109&lt;$I$95,(G109-$G$95)*$H$96+($G$95-$E$95)*$F$96+($E$95-$C$95)*$D$96+$C$95*$B$96,(G109-$I$95)*$J$96+(G102-E102)*F104+($G$95-$E$95)*$F$96+($E$95-$C$95)*$D$96+$C$95*$B$96))))</f>
        <v>16354</v>
      </c>
      <c r="H110" s="4">
        <f>IF(H109&lt;$C$95,$B$96*H109,IF(H109&lt;$E$95,(H109-$C$95)*$D$96+$C$95*$B$96,IF(H109&lt;$G$95,(H109-$E$95)*$F$96+($E$95-$C$95)*$D$96+$C$95*$B$96,IF(H109&lt;$I$95,(H109-$G$95)*$H$96+($G$95-$E$95)*$F$96+($E$95-$C$95)*$D$96+$C$95*$B$96,(H109-$I$95)*$J$96+(H102-F102)*G104+($G$95-$E$95)*$F$96+($E$95-$C$95)*$D$96+$C$95*$B$96))))</f>
        <v>22164</v>
      </c>
      <c r="I110" s="4">
        <f>IF(I109&lt;$C$95,$B$96*I109,IF(I109&lt;$E$95,(I109-$C$95)*$D$96+$C$95*$B$96,IF(I109&lt;$G$95,(I109-$E$95)*$F$96+($E$95-$C$95)*$D$96+$C$95*$B$96,IF(I109&lt;$I$95,(I109-$G$95)*$H$96+($G$95-$E$95)*$F$96+($E$95-$C$95)*$D$96+$C$95*$B$96,(I109-$I$95)*$J$96+($I$95-$G$95)*$H$96+($G$95-$E$95)*$F$96+($E$95-$C$95)*$D$96+$C$95*$B$96))))</f>
        <v>29024</v>
      </c>
      <c r="J110" s="4">
        <f>IF(J109&lt;$C$95,$B$96*J109,IF(J109&lt;$E$95,(J109-$C$95)*$D$96+$C$95*$B$96,IF(J109&lt;$G$95,(J109-$E$95)*$F$96+($E$95-$C$95)*$D$96+$C$95*$B$96,IF(J109&lt;$I$95,(J109-$G$95)*$H$96+($G$95-$E$95)*$F$96+($E$95-$C$95)*$D$96+$C$95*$B$96,(J109-$I$95)*$J$96+($I$95-$G$95)*$H$96+($G$95-$E$95)*$F$96+($E$95-$C$95)*$D$96+$C$95*$B$96))))</f>
        <v>41199</v>
      </c>
      <c r="M110" s="3">
        <f>($B$28/7)*SUM(D110:J110)</f>
        <v>59910722118.571426</v>
      </c>
      <c r="N110" s="3"/>
    </row>
    <row r="111" spans="1:14" x14ac:dyDescent="0.35">
      <c r="A111" t="s">
        <v>52</v>
      </c>
      <c r="D111" s="4">
        <f>D109-D110</f>
        <v>21066</v>
      </c>
      <c r="E111" s="4">
        <f t="shared" ref="E111:J111" si="53">E109-E110</f>
        <v>23130</v>
      </c>
      <c r="F111" s="4">
        <f t="shared" si="53"/>
        <v>25776</v>
      </c>
      <c r="G111" s="4">
        <f t="shared" si="53"/>
        <v>27846</v>
      </c>
      <c r="H111" s="4">
        <f t="shared" si="53"/>
        <v>30336</v>
      </c>
      <c r="I111" s="4">
        <f t="shared" si="53"/>
        <v>33276</v>
      </c>
      <c r="J111" s="4">
        <f t="shared" si="53"/>
        <v>35901</v>
      </c>
    </row>
    <row r="112" spans="1:14" x14ac:dyDescent="0.35">
      <c r="A112" t="s">
        <v>62</v>
      </c>
      <c r="I112" s="4"/>
      <c r="M112" s="3">
        <f>M102+M110</f>
        <v>288925051123.07141</v>
      </c>
    </row>
    <row r="113" spans="1:16" s="14" customFormat="1" x14ac:dyDescent="0.35">
      <c r="A113" s="21" t="s">
        <v>71</v>
      </c>
      <c r="L113" s="12"/>
      <c r="M113" s="20">
        <f>M112-M52</f>
        <v>159531273120.47849</v>
      </c>
    </row>
    <row r="114" spans="1:16" s="14" customFormat="1" x14ac:dyDescent="0.35">
      <c r="A114" s="21"/>
      <c r="L114" s="12"/>
      <c r="M114" s="20"/>
    </row>
    <row r="115" spans="1:16" x14ac:dyDescent="0.35">
      <c r="A115" s="41" t="s">
        <v>140</v>
      </c>
      <c r="B115" s="41"/>
      <c r="C115" s="41"/>
      <c r="D115" s="41"/>
      <c r="E115" s="41"/>
      <c r="F115" s="41"/>
      <c r="G115" s="41"/>
      <c r="H115" s="41"/>
      <c r="I115" s="41"/>
      <c r="J115" s="41"/>
      <c r="K115" s="41"/>
      <c r="L115" s="41"/>
    </row>
    <row r="116" spans="1:16" x14ac:dyDescent="0.35">
      <c r="A116" s="41" t="s">
        <v>137</v>
      </c>
      <c r="B116" s="41"/>
      <c r="C116" s="41"/>
      <c r="D116" s="41"/>
      <c r="E116" s="41"/>
      <c r="F116" s="41"/>
      <c r="G116" s="41"/>
      <c r="H116" s="41"/>
      <c r="I116" s="41"/>
      <c r="J116" s="41"/>
      <c r="K116" s="41"/>
      <c r="L116" s="40">
        <f>E7</f>
        <v>188802567030</v>
      </c>
    </row>
    <row r="117" spans="1:16" x14ac:dyDescent="0.35">
      <c r="A117" s="41" t="s">
        <v>138</v>
      </c>
      <c r="B117" s="41"/>
      <c r="C117" s="41"/>
      <c r="D117" s="41"/>
      <c r="E117" s="41"/>
      <c r="F117" s="41"/>
      <c r="G117" s="41"/>
      <c r="H117" s="41"/>
      <c r="I117" s="41"/>
      <c r="J117" s="41"/>
      <c r="K117" s="41"/>
      <c r="L117" s="40">
        <f>M113</f>
        <v>159531273120.47849</v>
      </c>
    </row>
    <row r="118" spans="1:16" x14ac:dyDescent="0.35">
      <c r="A118" s="41" t="s">
        <v>139</v>
      </c>
      <c r="B118" s="41"/>
      <c r="C118" s="41"/>
      <c r="D118" s="41"/>
      <c r="E118" s="41"/>
      <c r="F118" s="41"/>
      <c r="G118" s="41"/>
      <c r="H118" s="41"/>
      <c r="I118" s="41"/>
      <c r="J118" s="41"/>
      <c r="K118" s="41"/>
      <c r="L118" s="40">
        <f>E20</f>
        <v>29402000000</v>
      </c>
    </row>
    <row r="119" spans="1:16" x14ac:dyDescent="0.35">
      <c r="A119" s="41" t="s">
        <v>205</v>
      </c>
      <c r="B119" s="41"/>
      <c r="C119" s="41"/>
      <c r="D119" s="41"/>
      <c r="E119" s="41"/>
      <c r="F119" s="41"/>
      <c r="G119" s="41"/>
      <c r="H119" s="41"/>
      <c r="I119" s="41"/>
      <c r="J119" s="41"/>
      <c r="K119" s="41"/>
      <c r="L119" s="40">
        <f>L116-L117-L118</f>
        <v>-130706090.47848511</v>
      </c>
    </row>
    <row r="122" spans="1:16" x14ac:dyDescent="0.35">
      <c r="A122" t="s">
        <v>109</v>
      </c>
      <c r="B122" s="23">
        <f>B105/B101</f>
        <v>0</v>
      </c>
      <c r="C122" s="23">
        <f t="shared" ref="C122:K122" si="54">C105/C101</f>
        <v>0.15321266968325792</v>
      </c>
      <c r="D122" s="23">
        <f t="shared" si="54"/>
        <v>0.21977777777777777</v>
      </c>
      <c r="E122" s="23">
        <f t="shared" si="54"/>
        <v>0.26102236421725239</v>
      </c>
      <c r="F122" s="23">
        <f t="shared" si="54"/>
        <v>0.30895442359249331</v>
      </c>
      <c r="G122" s="23">
        <f t="shared" si="54"/>
        <v>0.37</v>
      </c>
      <c r="H122" s="23">
        <f t="shared" si="54"/>
        <v>0.42217142857142859</v>
      </c>
      <c r="I122" s="23">
        <f t="shared" si="54"/>
        <v>0.4658747993579454</v>
      </c>
      <c r="J122" s="23">
        <f t="shared" si="54"/>
        <v>0.53435797665369644</v>
      </c>
      <c r="K122" s="23">
        <f t="shared" si="54"/>
        <v>0.65746835443037976</v>
      </c>
    </row>
    <row r="123" spans="1:16" x14ac:dyDescent="0.35">
      <c r="B123" s="23"/>
      <c r="C123" s="23"/>
      <c r="D123" s="23"/>
      <c r="E123" s="23"/>
      <c r="F123" s="23"/>
      <c r="G123" s="23"/>
      <c r="H123" s="23"/>
      <c r="I123" s="23"/>
      <c r="J123" s="23"/>
      <c r="K123" s="23"/>
    </row>
    <row r="124" spans="1:16" x14ac:dyDescent="0.35">
      <c r="A124" s="1" t="s">
        <v>127</v>
      </c>
      <c r="M124" s="1" t="s">
        <v>128</v>
      </c>
      <c r="N124" s="1" t="s">
        <v>129</v>
      </c>
      <c r="O124" s="1" t="s">
        <v>130</v>
      </c>
    </row>
    <row r="125" spans="1:16" x14ac:dyDescent="0.35">
      <c r="A125" t="s">
        <v>63</v>
      </c>
      <c r="B125" s="4">
        <f t="shared" ref="B125:K125" si="55">B106-B41</f>
        <v>1500</v>
      </c>
      <c r="C125" s="4">
        <f t="shared" si="55"/>
        <v>9784.11</v>
      </c>
      <c r="D125" s="4">
        <f t="shared" si="55"/>
        <v>7763.9105199999995</v>
      </c>
      <c r="E125" s="4">
        <f t="shared" si="55"/>
        <v>5895.0445199999995</v>
      </c>
      <c r="F125" s="4">
        <f t="shared" si="55"/>
        <v>4167.5548799999997</v>
      </c>
      <c r="G125" s="4">
        <f t="shared" si="55"/>
        <v>2191.8088800000005</v>
      </c>
      <c r="H125" s="36">
        <f t="shared" si="55"/>
        <v>193.81007999999929</v>
      </c>
      <c r="I125" s="4">
        <f t="shared" si="55"/>
        <v>-1862.0339200000017</v>
      </c>
      <c r="J125" s="4">
        <f t="shared" si="55"/>
        <v>-6781.7779200000004</v>
      </c>
      <c r="K125" s="4">
        <f t="shared" si="55"/>
        <v>-22496.6005</v>
      </c>
      <c r="M125" s="3">
        <f>($B$29/10)*SUM(B125:H125)</f>
        <v>32659253248.763435</v>
      </c>
      <c r="N125" s="3">
        <f>SUM(I125,K125)*B29/10+SUM(I126,J126)*B28/7</f>
        <v>-29112080863.771255</v>
      </c>
      <c r="O125" s="3">
        <f>SUM(B125:F125)*B29/10</f>
        <v>30185544115.855957</v>
      </c>
      <c r="P125" s="4">
        <f>SUM(B125:J125)</f>
        <v>22852.427039999995</v>
      </c>
    </row>
    <row r="126" spans="1:16" x14ac:dyDescent="0.35">
      <c r="A126" t="s">
        <v>67</v>
      </c>
      <c r="D126" s="4">
        <f>D111-D41</f>
        <v>7763.9105199999995</v>
      </c>
      <c r="E126" s="4">
        <f t="shared" ref="E126:J126" si="56">E111-E41</f>
        <v>5895.0445199999995</v>
      </c>
      <c r="F126" s="4">
        <f t="shared" si="56"/>
        <v>4167.5548799999997</v>
      </c>
      <c r="G126" s="4">
        <f t="shared" si="56"/>
        <v>2191.8088800000005</v>
      </c>
      <c r="H126" s="4">
        <f t="shared" si="56"/>
        <v>193.81007999999929</v>
      </c>
      <c r="I126" s="4">
        <f t="shared" si="56"/>
        <v>-1862.0339200000017</v>
      </c>
      <c r="J126" s="4">
        <f t="shared" si="56"/>
        <v>-6781.7779200000004</v>
      </c>
      <c r="M126" s="3">
        <f>($B$28/7)*SUM(D126:H126)</f>
        <v>9011924154.7859402</v>
      </c>
      <c r="N126" s="3">
        <f>SUM(I126,K126)*B30/10+SUM(I127,J127)*B29/7</f>
        <v>-2511944274.1824026</v>
      </c>
      <c r="O126" s="3">
        <f>SUM(D126:F126)*B28/10</f>
        <v>5563778531.6014385</v>
      </c>
    </row>
    <row r="127" spans="1:16" x14ac:dyDescent="0.35">
      <c r="A127" t="s">
        <v>97</v>
      </c>
      <c r="M127" s="3">
        <f>SUM(M125:M126)</f>
        <v>41671177403.549377</v>
      </c>
      <c r="N127" s="3">
        <f>SUM(B125:H125)*B29/10 + SUM(D126:I126)*B28/7</f>
        <v>40840957659.735893</v>
      </c>
      <c r="O127" s="3">
        <f>SUM(O125:O126)</f>
        <v>35749322647.457397</v>
      </c>
    </row>
    <row r="129" spans="1:13" x14ac:dyDescent="0.35">
      <c r="A129" s="1" t="s">
        <v>95</v>
      </c>
      <c r="M129" s="19" t="s">
        <v>97</v>
      </c>
    </row>
    <row r="130" spans="1:13" x14ac:dyDescent="0.35">
      <c r="A130" t="s">
        <v>96</v>
      </c>
      <c r="B130" s="3">
        <f t="shared" ref="B130:K130" si="57">($B$29/10)*B40+($B$28/7)*B49</f>
        <v>0</v>
      </c>
      <c r="C130" s="3">
        <f t="shared" si="57"/>
        <v>591161596.80500007</v>
      </c>
      <c r="D130" s="3">
        <f t="shared" si="57"/>
        <v>1138451414.9062598</v>
      </c>
      <c r="E130" s="3">
        <f t="shared" si="57"/>
        <v>1787620921.4946885</v>
      </c>
      <c r="F130" s="3">
        <f t="shared" si="57"/>
        <v>4047056727.037756</v>
      </c>
      <c r="G130" s="3">
        <f t="shared" si="57"/>
        <v>7695960798.4461832</v>
      </c>
      <c r="H130" s="3">
        <f t="shared" si="57"/>
        <v>13561802415.145353</v>
      </c>
      <c r="I130" s="3">
        <f t="shared" si="57"/>
        <v>20304436751.443352</v>
      </c>
      <c r="J130" s="3">
        <f t="shared" si="57"/>
        <v>30487190647.077065</v>
      </c>
      <c r="K130" s="3">
        <f t="shared" si="57"/>
        <v>49780096730.237251</v>
      </c>
      <c r="M130" s="3">
        <f>SUM(B130:K130)</f>
        <v>129393778002.5929</v>
      </c>
    </row>
    <row r="131" spans="1:13" x14ac:dyDescent="0.35">
      <c r="A131" t="s">
        <v>107</v>
      </c>
      <c r="B131" s="3">
        <f t="shared" ref="B131:K131" si="58">($B$29/10)*B66+($B$28/7)*B74</f>
        <v>0</v>
      </c>
      <c r="C131" s="3">
        <f t="shared" si="58"/>
        <v>2090482123.6634395</v>
      </c>
      <c r="D131" s="3">
        <f t="shared" si="58"/>
        <v>5263358084.1738968</v>
      </c>
      <c r="E131" s="3">
        <f t="shared" si="58"/>
        <v>7537312795.3414669</v>
      </c>
      <c r="F131" s="3">
        <f t="shared" si="58"/>
        <v>11049743738.576496</v>
      </c>
      <c r="G131" s="3">
        <f t="shared" si="58"/>
        <v>16520305236.17407</v>
      </c>
      <c r="H131" s="3">
        <f t="shared" si="58"/>
        <v>22230903704.671352</v>
      </c>
      <c r="I131" s="3">
        <f t="shared" si="58"/>
        <v>28973538040.969357</v>
      </c>
      <c r="J131" s="3">
        <f t="shared" si="58"/>
        <v>40086144343.431534</v>
      </c>
      <c r="K131" s="3">
        <f t="shared" si="58"/>
        <v>56247401073.737251</v>
      </c>
      <c r="M131" s="3">
        <f t="shared" ref="M131:M136" si="59">SUM(B131:K131)</f>
        <v>189999189140.73886</v>
      </c>
    </row>
    <row r="132" spans="1:13" x14ac:dyDescent="0.35">
      <c r="A132" t="s">
        <v>108</v>
      </c>
      <c r="B132" s="3">
        <f t="shared" ref="B132:K132" si="60">($B$29/10)*B105+($B$28/7)*B110</f>
        <v>0</v>
      </c>
      <c r="C132" s="3">
        <f t="shared" si="60"/>
        <v>3511029743</v>
      </c>
      <c r="D132" s="3">
        <f t="shared" si="60"/>
        <v>8798891542.7142868</v>
      </c>
      <c r="E132" s="3">
        <f t="shared" si="60"/>
        <v>12114415892.142857</v>
      </c>
      <c r="F132" s="3">
        <f t="shared" si="60"/>
        <v>17087702416.285713</v>
      </c>
      <c r="G132" s="3">
        <f t="shared" si="60"/>
        <v>24249590881.285713</v>
      </c>
      <c r="H132" s="3">
        <f t="shared" si="60"/>
        <v>32864616136.285713</v>
      </c>
      <c r="I132" s="3">
        <f t="shared" si="60"/>
        <v>43036573666.285713</v>
      </c>
      <c r="J132" s="3">
        <f t="shared" si="60"/>
        <v>61089574093.071426</v>
      </c>
      <c r="K132" s="3">
        <f t="shared" si="60"/>
        <v>86172656752</v>
      </c>
      <c r="M132" s="3">
        <f t="shared" si="59"/>
        <v>288925051123.07141</v>
      </c>
    </row>
    <row r="133" spans="1:13" x14ac:dyDescent="0.35">
      <c r="M133" s="3"/>
    </row>
    <row r="134" spans="1:13" x14ac:dyDescent="0.35">
      <c r="A134" t="s">
        <v>105</v>
      </c>
      <c r="B134" s="3">
        <f>B131-B130</f>
        <v>0</v>
      </c>
      <c r="C134" s="3">
        <f t="shared" ref="C134:J134" si="61">C131-C130</f>
        <v>1499320526.8584394</v>
      </c>
      <c r="D134" s="3">
        <f t="shared" si="61"/>
        <v>4124906669.2676373</v>
      </c>
      <c r="E134" s="3">
        <f t="shared" si="61"/>
        <v>5749691873.8467789</v>
      </c>
      <c r="F134" s="3">
        <f t="shared" si="61"/>
        <v>7002687011.5387402</v>
      </c>
      <c r="G134" s="3">
        <f t="shared" si="61"/>
        <v>8824344437.7278862</v>
      </c>
      <c r="H134" s="3">
        <f t="shared" si="61"/>
        <v>8669101289.5259991</v>
      </c>
      <c r="I134" s="3">
        <f t="shared" si="61"/>
        <v>8669101289.5260048</v>
      </c>
      <c r="J134" s="3">
        <f t="shared" si="61"/>
        <v>9598953696.3544693</v>
      </c>
      <c r="K134" s="3">
        <f>K131-K130</f>
        <v>6467304343.5</v>
      </c>
      <c r="M134" s="3">
        <f t="shared" si="59"/>
        <v>60605411138.145958</v>
      </c>
    </row>
    <row r="135" spans="1:13" x14ac:dyDescent="0.35">
      <c r="M135" s="3"/>
    </row>
    <row r="136" spans="1:13" x14ac:dyDescent="0.35">
      <c r="A136" t="s">
        <v>106</v>
      </c>
      <c r="B136" s="3">
        <f>B132-B130</f>
        <v>0</v>
      </c>
      <c r="C136" s="3">
        <f t="shared" ref="C136:J136" si="62">C132-C130</f>
        <v>2919868146.1949997</v>
      </c>
      <c r="D136" s="3">
        <f t="shared" si="62"/>
        <v>7660440127.8080273</v>
      </c>
      <c r="E136" s="3">
        <f t="shared" si="62"/>
        <v>10326794970.648169</v>
      </c>
      <c r="F136" s="3">
        <f t="shared" si="62"/>
        <v>13040645689.247957</v>
      </c>
      <c r="G136" s="3">
        <f t="shared" si="62"/>
        <v>16553630082.839531</v>
      </c>
      <c r="H136" s="3">
        <f t="shared" si="62"/>
        <v>19302813721.140358</v>
      </c>
      <c r="I136" s="3">
        <f t="shared" si="62"/>
        <v>22732136914.842361</v>
      </c>
      <c r="J136" s="3">
        <f t="shared" si="62"/>
        <v>30602383445.994362</v>
      </c>
      <c r="K136" s="3">
        <f>K132-K130</f>
        <v>36392560021.762749</v>
      </c>
      <c r="M136" s="3">
        <f t="shared" si="59"/>
        <v>159531273120.47852</v>
      </c>
    </row>
    <row r="139" spans="1:13" x14ac:dyDescent="0.35">
      <c r="A139" s="1" t="s">
        <v>68</v>
      </c>
    </row>
    <row r="140" spans="1:13" x14ac:dyDescent="0.35">
      <c r="A140" t="s">
        <v>69</v>
      </c>
      <c r="B140" s="3">
        <f>E7</f>
        <v>188802567030</v>
      </c>
    </row>
    <row r="141" spans="1:13" x14ac:dyDescent="0.35">
      <c r="A141" t="s">
        <v>70</v>
      </c>
      <c r="B141" s="3">
        <f>E25</f>
        <v>32552000000</v>
      </c>
    </row>
    <row r="142" spans="1:13" x14ac:dyDescent="0.35">
      <c r="A142" t="s">
        <v>71</v>
      </c>
      <c r="B142" s="3">
        <f>M113</f>
        <v>159531273120.47849</v>
      </c>
    </row>
    <row r="143" spans="1:13" x14ac:dyDescent="0.35">
      <c r="A143" t="s">
        <v>72</v>
      </c>
      <c r="B143" s="3">
        <f>B140-B141-B142</f>
        <v>-3280706090.4784851</v>
      </c>
      <c r="C143" s="15" t="s">
        <v>6</v>
      </c>
      <c r="D143" s="16">
        <f>B143/1000000000</f>
        <v>-3.280706090478485</v>
      </c>
      <c r="E143" t="s">
        <v>73</v>
      </c>
    </row>
    <row r="146" spans="1:18" x14ac:dyDescent="0.35">
      <c r="A146" s="1" t="s">
        <v>98</v>
      </c>
      <c r="N146" t="s">
        <v>102</v>
      </c>
      <c r="O146" t="s">
        <v>103</v>
      </c>
    </row>
    <row r="147" spans="1:18" x14ac:dyDescent="0.35">
      <c r="A147" t="s">
        <v>99</v>
      </c>
      <c r="B147" s="3">
        <f>($B$29/10)*B41+($B$28/7)*B50</f>
        <v>2488621200</v>
      </c>
      <c r="C147" s="3">
        <f t="shared" ref="C147:K147" si="63">($B$29/10)*C41+($B$28/7)*C50</f>
        <v>9259630653.1949997</v>
      </c>
      <c r="D147" s="3">
        <f t="shared" si="63"/>
        <v>20213762642.236595</v>
      </c>
      <c r="E147" s="3">
        <f t="shared" si="63"/>
        <v>25940601499.933884</v>
      </c>
      <c r="F147" s="3">
        <f t="shared" si="63"/>
        <v>32577921551.533676</v>
      </c>
      <c r="G147" s="3">
        <f t="shared" si="63"/>
        <v>39160286715.839531</v>
      </c>
      <c r="H147" s="3">
        <f t="shared" si="63"/>
        <v>45601624034.854645</v>
      </c>
      <c r="I147" s="3">
        <f t="shared" si="63"/>
        <v>53390357598.556648</v>
      </c>
      <c r="J147" s="3">
        <f t="shared" si="63"/>
        <v>65152934817.208649</v>
      </c>
      <c r="K147" s="3">
        <f t="shared" si="63"/>
        <v>68222025169.762749</v>
      </c>
      <c r="M147" t="str">
        <f>A147</f>
        <v>Netto inkomen vóór invoering BI</v>
      </c>
      <c r="N147" s="11">
        <f>K147/SUM(B147:K147)</f>
        <v>0.18845459020287719</v>
      </c>
      <c r="O147" s="11">
        <f>SUM(B147:F147)/SUM(B147:K147)</f>
        <v>0.24994087440685428</v>
      </c>
    </row>
    <row r="148" spans="1:18" x14ac:dyDescent="0.35">
      <c r="A148" t="s">
        <v>100</v>
      </c>
      <c r="B148" s="3">
        <f>($B$29/10)*B67+($B$28/7)*B75</f>
        <v>4044009450</v>
      </c>
      <c r="C148" s="3">
        <f t="shared" ref="C148:K148" si="64">($B$29/10)*C67+($B$28/7)*C75</f>
        <v>20825571426.336559</v>
      </c>
      <c r="D148" s="3">
        <f t="shared" si="64"/>
        <v>34772043272.968964</v>
      </c>
      <c r="E148" s="3">
        <f t="shared" si="64"/>
        <v>38874096926.087105</v>
      </c>
      <c r="F148" s="3">
        <f t="shared" si="64"/>
        <v>44258421839.994934</v>
      </c>
      <c r="G148" s="3">
        <f t="shared" si="64"/>
        <v>49019129578.111649</v>
      </c>
      <c r="H148" s="3">
        <f t="shared" si="64"/>
        <v>55615710045.328644</v>
      </c>
      <c r="I148" s="3">
        <f t="shared" si="64"/>
        <v>63404443609.03064</v>
      </c>
      <c r="J148" s="3">
        <f t="shared" si="64"/>
        <v>74237168420.854187</v>
      </c>
      <c r="K148" s="3">
        <f t="shared" si="64"/>
        <v>74819982126.262756</v>
      </c>
      <c r="M148" t="str">
        <f>A148</f>
        <v>Netto inkomen ná invoering BI</v>
      </c>
      <c r="N148" s="11">
        <f>K148/SUM(B148:K148)</f>
        <v>0.16269791092959968</v>
      </c>
      <c r="O148" s="11">
        <f>SUM(B148:F148)/SUM(B148:K148)</f>
        <v>0.31046592269826234</v>
      </c>
    </row>
    <row r="149" spans="1:18" x14ac:dyDescent="0.35">
      <c r="A149" t="s">
        <v>101</v>
      </c>
      <c r="B149" s="3">
        <f>($B$29/10)*B106+($B$28/7)*B111</f>
        <v>4044009450</v>
      </c>
      <c r="C149" s="3">
        <f t="shared" ref="C149:K149" si="65">($B$29/10)*C106+($B$28/7)*C111</f>
        <v>19405023807</v>
      </c>
      <c r="D149" s="3">
        <f t="shared" si="65"/>
        <v>31236509814.428574</v>
      </c>
      <c r="E149" s="3">
        <f t="shared" si="65"/>
        <v>34296993829.285713</v>
      </c>
      <c r="F149" s="3">
        <f t="shared" si="65"/>
        <v>38220463162.285713</v>
      </c>
      <c r="G149" s="3">
        <f t="shared" si="65"/>
        <v>41289843933</v>
      </c>
      <c r="H149" s="3">
        <f t="shared" si="65"/>
        <v>44981997613.714287</v>
      </c>
      <c r="I149" s="3">
        <f t="shared" si="65"/>
        <v>49341407983.714287</v>
      </c>
      <c r="J149" s="3">
        <f t="shared" si="65"/>
        <v>53233738671.214287</v>
      </c>
      <c r="K149" s="3">
        <f t="shared" si="65"/>
        <v>44894726448</v>
      </c>
      <c r="M149" t="str">
        <f>A149</f>
        <v>Netto inkomen ná invoering BI+nieuw IB</v>
      </c>
      <c r="N149" s="11">
        <f>K149/SUM(B149:K149)</f>
        <v>0.12438117145929624</v>
      </c>
      <c r="O149" s="11">
        <f>SUM(B149:F149)/SUM(B149:K149)</f>
        <v>0.35241685188345118</v>
      </c>
    </row>
    <row r="151" spans="1:18" x14ac:dyDescent="0.35">
      <c r="M151" t="s">
        <v>122</v>
      </c>
      <c r="P151" t="s">
        <v>136</v>
      </c>
    </row>
    <row r="152" spans="1:18" x14ac:dyDescent="0.35">
      <c r="A152" s="1" t="s">
        <v>110</v>
      </c>
      <c r="M152" t="s">
        <v>48</v>
      </c>
      <c r="N152" t="s">
        <v>131</v>
      </c>
      <c r="O152" t="s">
        <v>133</v>
      </c>
      <c r="P152" t="s">
        <v>135</v>
      </c>
      <c r="Q152" t="s">
        <v>131</v>
      </c>
      <c r="R152" t="s">
        <v>133</v>
      </c>
    </row>
    <row r="153" spans="1:18" x14ac:dyDescent="0.35">
      <c r="A153" t="s">
        <v>117</v>
      </c>
      <c r="B153">
        <v>12600</v>
      </c>
      <c r="C153">
        <f>E95</f>
        <v>20000</v>
      </c>
      <c r="D153">
        <f>G95</f>
        <v>36000</v>
      </c>
      <c r="E153">
        <f>I95</f>
        <v>65000</v>
      </c>
      <c r="M153" s="37">
        <f>B153</f>
        <v>12600</v>
      </c>
      <c r="N153" s="38">
        <f>B155</f>
        <v>0</v>
      </c>
      <c r="O153" s="39">
        <f>B153-B154</f>
        <v>12600</v>
      </c>
      <c r="P153" s="37">
        <v>12600</v>
      </c>
      <c r="Q153" s="38">
        <f>F163</f>
        <v>7.4938612698412732E-2</v>
      </c>
      <c r="R153" s="39">
        <f>F162</f>
        <v>11655.77348</v>
      </c>
    </row>
    <row r="154" spans="1:18" x14ac:dyDescent="0.35">
      <c r="A154" t="s">
        <v>111</v>
      </c>
      <c r="B154" s="4">
        <f>IF(B153&lt;$C$95,$B$96*B153,IF(B153&lt;$E$95,(B153-$C$95)*$D$96+$C$95*$B$96,IF(B153&lt;$G$95,(B153-$E$95)*$F$96+($E$95-$C$95)*$D$96+$C$95*$B$96,IF(B153&lt;$I$95,(B153-$G$95)*$H$96+($G$95-$E$95)*$F$96+($E$95-$C$95)*$D$96+$C$95*$B$96,(B153-$I$95)*$J$96+($I$95-$G$95)*$H$96+($G$95-$E$95)*$F$96+($E$95-$C$95)*$D$96+$C$95*$B$96))))</f>
        <v>0</v>
      </c>
      <c r="C154" s="4">
        <f>IF(C153&lt;$C$95,$B$96*C153,IF(C153&lt;$E$95,(C153-$C$95)*$D$96+$C$95*$B$96,IF(C153&lt;$G$95,(C153-$E$95)*$F$96+($E$95-$C$95)*$D$96+$C$95*$B$96,IF(C153&lt;$I$95,(C153-$G$95)*$H$96+($G$95-$E$95)*$F$96+($E$95-$C$95)*$D$96+$C$95*$B$96,(C153-$I$95)*$J$96+($I$95-$G$95)*$H$96+($G$95-$E$95)*$F$96+($E$95-$C$95)*$D$96+$C$95*$B$96))))</f>
        <v>2294</v>
      </c>
      <c r="D154" s="4">
        <f>IF(D153&lt;$C$95,$B$96*D153,IF(D153&lt;$E$95,(D153-$C$95)*$D$96+$C$95*$B$96,IF(D153&lt;$G$95,(D153-$E$95)*$F$96+($E$95-$C$95)*$D$96+$C$95*$B$96,IF(D153&lt;$I$95,(D153-$G$95)*$H$96+($G$95-$E$95)*$F$96+($E$95-$C$95)*$D$96+$C$95*$B$96,(D153-$I$95)*$J$96+($I$95-$G$95)*$H$96+($G$95-$E$95)*$F$96+($E$95-$C$95)*$D$96+$C$95*$B$96))))</f>
        <v>10614</v>
      </c>
      <c r="E154" s="4">
        <f>IF(E153&lt;$C$95,$B$96*E153,IF(E153&lt;$E$95,(E153-$C$95)*$D$96+$C$95*$B$96,IF(E153&lt;$G$95,(E153-$E$95)*$F$96+($E$95-$C$95)*$D$96+$C$95*$B$96,IF(E153&lt;$I$95,(E153-$G$95)*$H$96+($G$95-$E$95)*$F$96+($E$95-$C$95)*$D$96+$C$95*$B$96,(E153-$I$95)*$J$96+($I$95-$G$95)*$H$96+($G$95-$E$95)*$F$96+($E$95-$C$95)*$D$96+$C$95*$B$96))))</f>
        <v>30914</v>
      </c>
      <c r="M154" s="37">
        <f>C153</f>
        <v>20000</v>
      </c>
      <c r="N154" s="38">
        <f>C155</f>
        <v>0.1147</v>
      </c>
      <c r="O154" s="39">
        <f>C153-C154</f>
        <v>17706</v>
      </c>
      <c r="P154" s="37">
        <v>12600</v>
      </c>
      <c r="Q154" s="38">
        <f>F163</f>
        <v>7.4938612698412732E-2</v>
      </c>
      <c r="R154" s="39">
        <f>F162</f>
        <v>11655.77348</v>
      </c>
    </row>
    <row r="155" spans="1:18" s="17" customFormat="1" x14ac:dyDescent="0.35">
      <c r="A155" s="17" t="s">
        <v>112</v>
      </c>
      <c r="B155" s="24">
        <f>B154/B153</f>
        <v>0</v>
      </c>
      <c r="C155" s="24">
        <f>C154/C153</f>
        <v>0.1147</v>
      </c>
      <c r="D155" s="24">
        <f>D154/D153</f>
        <v>0.29483333333333334</v>
      </c>
      <c r="E155" s="24">
        <f>E154/E153</f>
        <v>0.47560000000000002</v>
      </c>
      <c r="M155" s="37">
        <f>D153</f>
        <v>36000</v>
      </c>
      <c r="N155" s="38">
        <f>D155</f>
        <v>0.29483333333333334</v>
      </c>
      <c r="O155" s="39">
        <f>D153-D154</f>
        <v>25386</v>
      </c>
      <c r="P155" s="37">
        <f>D157</f>
        <v>23400</v>
      </c>
      <c r="Q155" s="38">
        <f>D163</f>
        <v>0.10913661880341879</v>
      </c>
      <c r="R155" s="39">
        <f>D162</f>
        <v>20846.203119999998</v>
      </c>
    </row>
    <row r="156" spans="1:18" x14ac:dyDescent="0.35">
      <c r="F156" s="9" t="s">
        <v>132</v>
      </c>
      <c r="M156" s="37">
        <f>E153</f>
        <v>65000</v>
      </c>
      <c r="N156" s="38">
        <f>E155</f>
        <v>0.47560000000000002</v>
      </c>
      <c r="O156" s="39">
        <f>E153-E154</f>
        <v>34086</v>
      </c>
      <c r="P156" s="37">
        <f>E157</f>
        <v>52400</v>
      </c>
      <c r="Q156" s="38">
        <f>E163</f>
        <v>0.30315954351145041</v>
      </c>
      <c r="R156" s="39">
        <f>E162</f>
        <v>36514.439919999997</v>
      </c>
    </row>
    <row r="157" spans="1:18" x14ac:dyDescent="0.35">
      <c r="A157" t="s">
        <v>116</v>
      </c>
      <c r="B157">
        <f>B153-12600</f>
        <v>0</v>
      </c>
      <c r="C157">
        <f>C153-12600</f>
        <v>7400</v>
      </c>
      <c r="D157">
        <f>D153-12600</f>
        <v>23400</v>
      </c>
      <c r="E157">
        <f>E153-12600</f>
        <v>52400</v>
      </c>
      <c r="F157">
        <v>12600</v>
      </c>
    </row>
    <row r="158" spans="1:18" x14ac:dyDescent="0.35">
      <c r="A158" t="s">
        <v>50</v>
      </c>
      <c r="B158" s="4">
        <f>IF(B157&lt;68507,37.35%*B157,(37.35%*68507+(B157-68507)*49.5%))</f>
        <v>0</v>
      </c>
      <c r="C158" s="4">
        <f>IF(C157&lt;68507,37.35%*C157,(37.35%*68507+(C157-68507)*49.5%))</f>
        <v>2763.9</v>
      </c>
      <c r="D158" s="4">
        <f>IF(D157&lt;68507,37.35%*D157,(37.35%*68507+(D157-68507)*49.5%))</f>
        <v>8739.9</v>
      </c>
      <c r="E158" s="4">
        <f>IF(E157&lt;68507,37.35%*E157,(37.35%*68507+(E157-68507)*49.5%))</f>
        <v>19571.400000000001</v>
      </c>
      <c r="F158" s="4">
        <f>IF(F157&lt;68507,37.35%*F157,(37.35%*68507+(F157-68507)*49.5%))</f>
        <v>4706.1000000000004</v>
      </c>
    </row>
    <row r="159" spans="1:18" x14ac:dyDescent="0.35">
      <c r="A159" t="s">
        <v>113</v>
      </c>
      <c r="B159" s="4">
        <f>IF(B157&lt;20711,2711,IF(B157&lt;68507,(2711-0.05672*(B157-20711)),0))</f>
        <v>2711</v>
      </c>
      <c r="C159" s="4">
        <f>IF(C157&lt;20711,2711,IF(C157&lt;68507,(2711-0.05672*(C157-20711)),0))</f>
        <v>2711</v>
      </c>
      <c r="D159" s="4">
        <f>IF(D157&lt;20711,2711,IF(D157&lt;68507,(2711-0.05672*(D157-20711)),0))</f>
        <v>2558.4799199999998</v>
      </c>
      <c r="E159" s="4">
        <f>IF(E157&lt;20711,2711,IF(E157&lt;68507,(2711-0.05672*(E157-20711)),0))</f>
        <v>913.59992000000011</v>
      </c>
      <c r="F159" s="4">
        <f>IF(F157&lt;20711,2711,IF(F157&lt;68507,(2711-0.05672*(F157-20711)),0))</f>
        <v>2711</v>
      </c>
    </row>
    <row r="160" spans="1:18" x14ac:dyDescent="0.35">
      <c r="A160" t="s">
        <v>23</v>
      </c>
      <c r="B160" s="4">
        <f>IF(B157&lt;9921,0.02812*B157,IF(B157&lt;21430,279+0.28812*(B157-9921),IF(B157&lt;34954,3595+0.01656*(B157-21430),IF(B157&lt;98604,3819-0.06*(B157-34954),0))))</f>
        <v>0</v>
      </c>
      <c r="C160" s="4">
        <f>IF(C157&lt;9921,0.02812*C157,IF(C157&lt;21430,279+0.28812*(C157-9921),IF(C157&lt;34954,3595+0.01656*(C157-21430),IF(C157&lt;98604,3819-0.06*(C157-34954),0))))</f>
        <v>208.08799999999999</v>
      </c>
      <c r="D160" s="4">
        <f>IF(D157&lt;9921,0.02812*D157,IF(D157&lt;21430,279+0.28812*(D157-9921),IF(D157&lt;34954,3595+0.01656*(D157-21430),IF(D157&lt;98604,3819-0.06*(D157-34954),0))))</f>
        <v>3627.6232</v>
      </c>
      <c r="E160" s="4">
        <f>IF(E157&lt;9921,0.02812*E157,IF(E157&lt;21430,279+0.28812*(E157-9921),IF(E157&lt;34954,3595+0.01656*(E157-21430),IF(E157&lt;98604,3819-0.06*(E157-34954),0))))</f>
        <v>2772.24</v>
      </c>
      <c r="F160" s="4">
        <f>IF(F157&lt;9921,0.02812*F157,IF(F157&lt;21430,279+0.28812*(F157-9921),IF(F157&lt;34954,3595+0.01656*(F157-21430),IF(F157&lt;98604,3819-0.06*(F157-34954),0))))</f>
        <v>1050.87348</v>
      </c>
    </row>
    <row r="161" spans="1:6" x14ac:dyDescent="0.35">
      <c r="A161" t="s">
        <v>114</v>
      </c>
      <c r="B161" s="4">
        <f>IF(B158-B159-B160&lt;0,0,B158-B159-B160)</f>
        <v>0</v>
      </c>
      <c r="C161" s="4">
        <f>IF(C158-C159-C160&lt;0,0,C158-C159-C160)</f>
        <v>0</v>
      </c>
      <c r="D161" s="4">
        <f>IF(D158-D159-D160&lt;0,0,D158-D159-D160)</f>
        <v>2553.7968799999999</v>
      </c>
      <c r="E161" s="4">
        <f>IF(E158-E159-E160&lt;0,0,E158-E159-E160)</f>
        <v>15885.560080000001</v>
      </c>
      <c r="F161" s="4">
        <f>IF(F158-F159-F160&lt;0,0,F158-F159-F160)</f>
        <v>944.22652000000039</v>
      </c>
    </row>
    <row r="162" spans="1:6" x14ac:dyDescent="0.35">
      <c r="A162" t="s">
        <v>134</v>
      </c>
      <c r="D162" s="4">
        <f>D157-D161</f>
        <v>20846.203119999998</v>
      </c>
      <c r="E162" s="4">
        <f>E157-E161</f>
        <v>36514.439919999997</v>
      </c>
      <c r="F162" s="4">
        <f>F157-F161</f>
        <v>11655.77348</v>
      </c>
    </row>
    <row r="163" spans="1:6" x14ac:dyDescent="0.35">
      <c r="A163" s="17" t="s">
        <v>115</v>
      </c>
      <c r="B163" s="17">
        <v>0</v>
      </c>
      <c r="C163" s="25">
        <f>C161/C157</f>
        <v>0</v>
      </c>
      <c r="D163" s="25">
        <f>D161/D157</f>
        <v>0.10913661880341879</v>
      </c>
      <c r="E163" s="25">
        <f>E161/E157</f>
        <v>0.30315954351145041</v>
      </c>
      <c r="F163" s="25">
        <f>F161/F157</f>
        <v>7.4938612698412732E-2</v>
      </c>
    </row>
  </sheetData>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6920-1116-4D22-A83E-225551E3B635}">
  <dimension ref="A1:AA179"/>
  <sheetViews>
    <sheetView tabSelected="1" workbookViewId="0">
      <selection activeCell="B179" sqref="B179"/>
    </sheetView>
  </sheetViews>
  <sheetFormatPr defaultRowHeight="14.5" x14ac:dyDescent="0.35"/>
  <cols>
    <col min="1" max="1" width="38.453125" customWidth="1"/>
    <col min="2" max="2" width="16.7265625" bestFit="1" customWidth="1"/>
    <col min="3" max="3" width="9.453125" bestFit="1" customWidth="1"/>
    <col min="4" max="4" width="10.81640625" customWidth="1"/>
    <col min="7" max="7" width="9.453125" customWidth="1"/>
    <col min="12" max="12" width="14.26953125" bestFit="1" customWidth="1"/>
    <col min="13" max="13" width="24" customWidth="1"/>
    <col min="14" max="15" width="13" bestFit="1" customWidth="1"/>
    <col min="17" max="17" width="35.7265625" customWidth="1"/>
    <col min="20" max="20" width="9.26953125" bestFit="1" customWidth="1"/>
    <col min="21" max="21" width="10.1796875" bestFit="1" customWidth="1"/>
    <col min="22" max="22" width="12.26953125" bestFit="1" customWidth="1"/>
    <col min="23" max="23" width="13.453125" bestFit="1" customWidth="1"/>
  </cols>
  <sheetData>
    <row r="1" spans="1:23" ht="21" x14ac:dyDescent="0.5">
      <c r="A1" s="2" t="s">
        <v>174</v>
      </c>
      <c r="B1" s="5"/>
      <c r="C1" t="s">
        <v>147</v>
      </c>
      <c r="D1" s="19" t="s">
        <v>177</v>
      </c>
    </row>
    <row r="2" spans="1:23" ht="21" x14ac:dyDescent="0.5">
      <c r="A2" s="2"/>
      <c r="B2" s="37" t="s">
        <v>175</v>
      </c>
      <c r="C2">
        <v>0</v>
      </c>
      <c r="D2">
        <v>12600</v>
      </c>
    </row>
    <row r="3" spans="1:23" ht="21" x14ac:dyDescent="0.5">
      <c r="A3" s="2"/>
      <c r="B3" s="37" t="s">
        <v>176</v>
      </c>
      <c r="C3" s="4">
        <v>150000</v>
      </c>
      <c r="D3">
        <v>0</v>
      </c>
    </row>
    <row r="4" spans="1:23" ht="21" x14ac:dyDescent="0.5">
      <c r="A4" s="2"/>
      <c r="B4" s="37" t="s">
        <v>214</v>
      </c>
      <c r="D4" s="66">
        <f>(D2-D3)/(C3-C2)</f>
        <v>8.4000000000000005E-2</v>
      </c>
    </row>
    <row r="5" spans="1:23" ht="21" x14ac:dyDescent="0.5">
      <c r="A5" s="2"/>
      <c r="B5" s="37" t="s">
        <v>237</v>
      </c>
      <c r="E5" s="3"/>
    </row>
    <row r="6" spans="1:23" ht="21" x14ac:dyDescent="0.5">
      <c r="A6" s="2"/>
      <c r="B6" s="37"/>
      <c r="D6" t="s">
        <v>205</v>
      </c>
      <c r="F6" s="3">
        <f>L137</f>
        <v>59763291295.105804</v>
      </c>
    </row>
    <row r="7" spans="1:23" x14ac:dyDescent="0.35">
      <c r="A7" t="s">
        <v>200</v>
      </c>
      <c r="B7" s="37"/>
    </row>
    <row r="8" spans="1:23" x14ac:dyDescent="0.35">
      <c r="A8" s="61"/>
      <c r="B8" s="61" t="s">
        <v>2</v>
      </c>
      <c r="C8" s="61" t="s">
        <v>3</v>
      </c>
      <c r="D8" s="61" t="s">
        <v>4</v>
      </c>
      <c r="E8" s="61" t="s">
        <v>57</v>
      </c>
    </row>
    <row r="9" spans="1:23" x14ac:dyDescent="0.35">
      <c r="A9" s="61" t="s">
        <v>1</v>
      </c>
      <c r="B9" s="62">
        <v>13490325</v>
      </c>
      <c r="C9" s="61">
        <f>12*1050</f>
        <v>12600</v>
      </c>
      <c r="D9" s="61">
        <f>0.05*C9</f>
        <v>630</v>
      </c>
      <c r="E9" s="62">
        <f>B9*(C9+D9)</f>
        <v>178476999750</v>
      </c>
    </row>
    <row r="10" spans="1:23" x14ac:dyDescent="0.35">
      <c r="A10" s="61" t="s">
        <v>54</v>
      </c>
      <c r="B10" s="62">
        <v>3791838</v>
      </c>
      <c r="C10" s="61">
        <v>1500</v>
      </c>
      <c r="D10" s="61">
        <f>0.05*1200</f>
        <v>60</v>
      </c>
      <c r="E10" s="62">
        <f>B10*(C10+D10)</f>
        <v>5915267280</v>
      </c>
      <c r="G10" s="3">
        <f>E9+E10</f>
        <v>184392267030</v>
      </c>
      <c r="T10" s="18"/>
      <c r="U10" s="18"/>
      <c r="V10" s="18"/>
      <c r="W10" s="18"/>
    </row>
    <row r="11" spans="1:23" x14ac:dyDescent="0.35">
      <c r="A11" s="61" t="s">
        <v>7</v>
      </c>
      <c r="B11" s="62"/>
      <c r="C11" s="61"/>
      <c r="D11" s="61"/>
      <c r="E11" s="62">
        <f>0.15*E25</f>
        <v>4410300000</v>
      </c>
      <c r="T11" s="18"/>
      <c r="U11" s="18"/>
      <c r="V11" s="18"/>
      <c r="W11" s="18"/>
    </row>
    <row r="12" spans="1:23" x14ac:dyDescent="0.35">
      <c r="A12" s="61" t="s">
        <v>56</v>
      </c>
      <c r="B12" s="61"/>
      <c r="C12" s="61"/>
      <c r="D12" s="61"/>
      <c r="E12" s="62">
        <f>SUM(E9:E11)</f>
        <v>188802567030</v>
      </c>
      <c r="F12" t="s">
        <v>6</v>
      </c>
      <c r="M12" s="13">
        <f>E12</f>
        <v>188802567030</v>
      </c>
      <c r="T12" s="18"/>
      <c r="U12" s="18"/>
      <c r="V12" s="18"/>
      <c r="W12" s="18"/>
    </row>
    <row r="13" spans="1:23" x14ac:dyDescent="0.35">
      <c r="A13" s="61" t="s">
        <v>5</v>
      </c>
      <c r="B13" s="62">
        <f>SUM(B9:B10)</f>
        <v>17282163</v>
      </c>
      <c r="C13" s="61"/>
      <c r="D13" s="61"/>
      <c r="E13" s="61"/>
      <c r="T13" s="18"/>
      <c r="U13" s="18"/>
      <c r="V13" s="18"/>
      <c r="W13" s="18"/>
    </row>
    <row r="14" spans="1:23" x14ac:dyDescent="0.35">
      <c r="B14" s="3"/>
      <c r="T14" s="18"/>
      <c r="U14" s="18"/>
      <c r="V14" s="18"/>
      <c r="W14" s="18"/>
    </row>
    <row r="15" spans="1:23" x14ac:dyDescent="0.35">
      <c r="A15" t="s">
        <v>185</v>
      </c>
      <c r="T15" s="18"/>
      <c r="U15" s="18"/>
      <c r="V15" s="18"/>
      <c r="W15" s="18"/>
    </row>
    <row r="16" spans="1:23" x14ac:dyDescent="0.35">
      <c r="A16" s="1" t="s">
        <v>77</v>
      </c>
      <c r="B16" t="s">
        <v>2</v>
      </c>
      <c r="C16" t="s">
        <v>13</v>
      </c>
      <c r="D16" t="s">
        <v>14</v>
      </c>
      <c r="E16" t="s">
        <v>5</v>
      </c>
      <c r="T16" s="18"/>
      <c r="U16" s="18"/>
      <c r="V16" s="18"/>
      <c r="W16" s="18"/>
    </row>
    <row r="17" spans="1:23" x14ac:dyDescent="0.35">
      <c r="A17" t="s">
        <v>8</v>
      </c>
      <c r="B17" s="3">
        <v>1400000</v>
      </c>
      <c r="C17" s="3">
        <v>85000000</v>
      </c>
      <c r="D17" s="3">
        <v>3600000000</v>
      </c>
      <c r="E17" s="3">
        <f>C17+D17</f>
        <v>3685000000</v>
      </c>
      <c r="F17" s="3"/>
      <c r="T17" s="18"/>
      <c r="U17" s="18"/>
      <c r="V17" s="18"/>
      <c r="W17" s="18"/>
    </row>
    <row r="18" spans="1:23" x14ac:dyDescent="0.35">
      <c r="A18" t="s">
        <v>9</v>
      </c>
      <c r="B18" s="3">
        <v>4500000</v>
      </c>
      <c r="C18" s="3">
        <v>68000000</v>
      </c>
      <c r="D18" s="3">
        <v>4700000000</v>
      </c>
      <c r="E18" s="3">
        <f>C18+D18</f>
        <v>4768000000</v>
      </c>
      <c r="F18" s="3"/>
      <c r="T18" s="18"/>
      <c r="U18" s="18"/>
      <c r="V18" s="18"/>
      <c r="W18" s="18"/>
    </row>
    <row r="19" spans="1:23" x14ac:dyDescent="0.35">
      <c r="A19" t="s">
        <v>10</v>
      </c>
      <c r="B19" s="3">
        <v>1870000</v>
      </c>
      <c r="D19" s="3">
        <v>3300000000</v>
      </c>
      <c r="E19" s="3">
        <v>3300000000</v>
      </c>
      <c r="F19" s="3"/>
    </row>
    <row r="20" spans="1:23" x14ac:dyDescent="0.35">
      <c r="A20" t="s">
        <v>11</v>
      </c>
      <c r="B20" s="3">
        <v>700000</v>
      </c>
      <c r="C20" s="3">
        <v>20000000</v>
      </c>
      <c r="D20" s="3">
        <v>1900000000</v>
      </c>
      <c r="E20" s="3">
        <f>C20+D20</f>
        <v>1920000000</v>
      </c>
      <c r="F20" s="3"/>
    </row>
    <row r="21" spans="1:23" x14ac:dyDescent="0.35">
      <c r="A21" t="s">
        <v>12</v>
      </c>
      <c r="B21" s="3">
        <v>600000</v>
      </c>
      <c r="C21" s="3">
        <v>69000000</v>
      </c>
      <c r="D21" s="3">
        <v>2600000000</v>
      </c>
      <c r="E21" s="3">
        <f>C21+D21</f>
        <v>2669000000</v>
      </c>
      <c r="F21" s="3"/>
    </row>
    <row r="22" spans="1:23" x14ac:dyDescent="0.35">
      <c r="A22" t="s">
        <v>55</v>
      </c>
      <c r="B22" s="3">
        <v>400000</v>
      </c>
      <c r="C22" s="3"/>
      <c r="D22" s="3">
        <v>14000</v>
      </c>
      <c r="E22" s="3">
        <f>D22*B22</f>
        <v>5600000000</v>
      </c>
      <c r="H22" s="3"/>
    </row>
    <row r="23" spans="1:23" x14ac:dyDescent="0.35">
      <c r="A23" t="s">
        <v>28</v>
      </c>
      <c r="B23" s="3"/>
      <c r="C23" s="3"/>
      <c r="D23" s="3"/>
      <c r="E23" s="3">
        <v>5000000000</v>
      </c>
    </row>
    <row r="24" spans="1:23" x14ac:dyDescent="0.35">
      <c r="A24" t="s">
        <v>59</v>
      </c>
      <c r="B24" s="3"/>
      <c r="C24" s="3"/>
      <c r="D24" s="3"/>
      <c r="E24" s="3">
        <v>2460000000</v>
      </c>
    </row>
    <row r="25" spans="1:23" x14ac:dyDescent="0.35">
      <c r="A25" t="s">
        <v>5</v>
      </c>
      <c r="B25" s="3"/>
      <c r="C25" s="3">
        <f>SUM(C17:C24)</f>
        <v>242000000</v>
      </c>
      <c r="D25" s="3">
        <f>SUM(D17:D24)</f>
        <v>16100014000</v>
      </c>
      <c r="E25" s="3">
        <f>SUM(E17:E24)</f>
        <v>29402000000</v>
      </c>
      <c r="F25" s="3">
        <f>E25</f>
        <v>29402000000</v>
      </c>
      <c r="M25" s="3"/>
    </row>
    <row r="26" spans="1:23" x14ac:dyDescent="0.35">
      <c r="B26" s="3"/>
      <c r="C26" s="3"/>
      <c r="D26" s="3"/>
      <c r="E26" s="3"/>
    </row>
    <row r="27" spans="1:23" x14ac:dyDescent="0.35">
      <c r="A27" s="1" t="s">
        <v>58</v>
      </c>
    </row>
    <row r="28" spans="1:23" x14ac:dyDescent="0.35">
      <c r="A28" t="s">
        <v>33</v>
      </c>
      <c r="B28" s="3">
        <v>250000</v>
      </c>
      <c r="C28">
        <v>12600</v>
      </c>
      <c r="E28" s="3">
        <f>B28*C28</f>
        <v>3150000000</v>
      </c>
      <c r="M28" s="3"/>
    </row>
    <row r="30" spans="1:23" x14ac:dyDescent="0.35">
      <c r="A30" s="6" t="s">
        <v>41</v>
      </c>
      <c r="E30" s="12">
        <f>E28+E25</f>
        <v>32552000000</v>
      </c>
      <c r="M30" s="7"/>
    </row>
    <row r="32" spans="1:23" x14ac:dyDescent="0.35">
      <c r="A32" t="s">
        <v>182</v>
      </c>
      <c r="F32" s="3">
        <v>10000000000</v>
      </c>
    </row>
    <row r="33" spans="1:14" x14ac:dyDescent="0.35">
      <c r="E33" s="3"/>
    </row>
    <row r="34" spans="1:14" x14ac:dyDescent="0.35">
      <c r="A34" t="s">
        <v>183</v>
      </c>
      <c r="E34" s="3"/>
      <c r="F34" s="3">
        <f>F25-F32</f>
        <v>19402000000</v>
      </c>
      <c r="M34" s="45">
        <f>F34</f>
        <v>19402000000</v>
      </c>
    </row>
    <row r="36" spans="1:14" x14ac:dyDescent="0.35">
      <c r="A36" t="s">
        <v>27</v>
      </c>
    </row>
    <row r="37" spans="1:14" x14ac:dyDescent="0.35">
      <c r="A37" t="s">
        <v>17</v>
      </c>
      <c r="B37">
        <v>3121070</v>
      </c>
    </row>
    <row r="38" spans="1:14" x14ac:dyDescent="0.35">
      <c r="A38" t="s">
        <v>18</v>
      </c>
      <c r="B38">
        <v>10369255</v>
      </c>
    </row>
    <row r="39" spans="1:14" x14ac:dyDescent="0.35">
      <c r="A39" t="s">
        <v>26</v>
      </c>
      <c r="B39">
        <v>13490325</v>
      </c>
    </row>
    <row r="40" spans="1:14" x14ac:dyDescent="0.35">
      <c r="A40" s="1" t="s">
        <v>199</v>
      </c>
      <c r="N40" t="s">
        <v>179</v>
      </c>
    </row>
    <row r="41" spans="1:14" x14ac:dyDescent="0.35">
      <c r="A41" t="s">
        <v>178</v>
      </c>
      <c r="B41" s="4">
        <v>1500</v>
      </c>
      <c r="C41" s="4">
        <v>11000</v>
      </c>
      <c r="D41" s="4">
        <v>11141.479099678456</v>
      </c>
      <c r="E41" s="4">
        <v>7657.2347266881025</v>
      </c>
      <c r="F41" s="4">
        <v>2795.498392282956</v>
      </c>
      <c r="G41" s="4"/>
      <c r="H41" s="36"/>
      <c r="I41" s="4"/>
      <c r="J41" s="4"/>
      <c r="K41" s="4"/>
    </row>
    <row r="42" spans="1:14" x14ac:dyDescent="0.35">
      <c r="A42" t="s">
        <v>217</v>
      </c>
      <c r="B42" s="4">
        <f>B41</f>
        <v>1500</v>
      </c>
      <c r="C42" s="4">
        <v>11000</v>
      </c>
      <c r="D42" s="4">
        <f>-$D$4*D50+13755</f>
        <v>12545.4</v>
      </c>
      <c r="E42" s="4">
        <f t="shared" ref="E42:K42" si="0">-$D$4*E50+13755</f>
        <v>12184.2</v>
      </c>
      <c r="F42" s="4">
        <f t="shared" si="0"/>
        <v>11680.2</v>
      </c>
      <c r="G42" s="4">
        <f t="shared" si="0"/>
        <v>11100.6</v>
      </c>
      <c r="H42" s="4">
        <f t="shared" si="0"/>
        <v>10403.4</v>
      </c>
      <c r="I42" s="4">
        <f t="shared" si="0"/>
        <v>9580.2000000000007</v>
      </c>
      <c r="J42" s="4">
        <f t="shared" si="0"/>
        <v>8337</v>
      </c>
      <c r="K42" s="4">
        <f t="shared" si="0"/>
        <v>4195.7999999999993</v>
      </c>
      <c r="N42" s="3">
        <f>SUM(C42:K42)*B39/10</f>
        <v>122798111571</v>
      </c>
    </row>
    <row r="43" spans="1:14" x14ac:dyDescent="0.35">
      <c r="A43" t="s">
        <v>202</v>
      </c>
      <c r="N43" s="3">
        <f>E10</f>
        <v>5915267280</v>
      </c>
    </row>
    <row r="44" spans="1:14" x14ac:dyDescent="0.35">
      <c r="A44" t="s">
        <v>7</v>
      </c>
      <c r="N44" s="3">
        <f>E11</f>
        <v>4410300000</v>
      </c>
    </row>
    <row r="45" spans="1:14" x14ac:dyDescent="0.35">
      <c r="A45" s="8" t="s">
        <v>201</v>
      </c>
      <c r="B45" s="8"/>
      <c r="C45" s="8"/>
      <c r="D45" s="8"/>
      <c r="E45" s="8"/>
      <c r="F45" s="8"/>
      <c r="G45" s="8"/>
      <c r="H45" s="8"/>
      <c r="I45" s="8"/>
      <c r="J45" s="8"/>
      <c r="K45" s="8"/>
      <c r="L45" s="8"/>
      <c r="M45" s="8"/>
      <c r="N45" s="13">
        <f>SUM(N42:N44)</f>
        <v>133123678851</v>
      </c>
    </row>
    <row r="47" spans="1:14" ht="18.5" x14ac:dyDescent="0.45">
      <c r="A47" s="5" t="s">
        <v>34</v>
      </c>
    </row>
    <row r="48" spans="1:14" x14ac:dyDescent="0.35">
      <c r="A48" t="s">
        <v>19</v>
      </c>
      <c r="B48">
        <v>1</v>
      </c>
      <c r="C48">
        <v>2</v>
      </c>
      <c r="D48">
        <v>3</v>
      </c>
      <c r="E48">
        <v>4</v>
      </c>
      <c r="F48">
        <v>5</v>
      </c>
      <c r="G48">
        <v>6</v>
      </c>
      <c r="H48">
        <v>7</v>
      </c>
      <c r="I48">
        <v>8</v>
      </c>
      <c r="J48">
        <v>9</v>
      </c>
      <c r="K48">
        <v>10</v>
      </c>
    </row>
    <row r="49" spans="1:19" x14ac:dyDescent="0.35">
      <c r="A49" s="1" t="s">
        <v>124</v>
      </c>
    </row>
    <row r="50" spans="1:19" x14ac:dyDescent="0.35">
      <c r="A50" t="s">
        <v>64</v>
      </c>
      <c r="B50" s="4">
        <v>2400</v>
      </c>
      <c r="C50" s="4">
        <v>9500</v>
      </c>
      <c r="D50" s="4">
        <v>14400</v>
      </c>
      <c r="E50" s="4">
        <v>18700</v>
      </c>
      <c r="F50" s="4">
        <v>24700</v>
      </c>
      <c r="G50" s="4">
        <v>31600</v>
      </c>
      <c r="H50" s="36">
        <v>39900</v>
      </c>
      <c r="I50" s="4">
        <v>49700</v>
      </c>
      <c r="J50" s="4">
        <v>64500</v>
      </c>
      <c r="K50" s="4">
        <v>113800</v>
      </c>
    </row>
    <row r="51" spans="1:19" x14ac:dyDescent="0.35">
      <c r="A51" t="s">
        <v>22</v>
      </c>
      <c r="B51" s="4"/>
      <c r="C51" s="4"/>
      <c r="D51" s="4"/>
      <c r="E51" s="4"/>
      <c r="F51" s="4"/>
      <c r="G51" s="4"/>
      <c r="H51" s="4"/>
      <c r="I51" s="4"/>
      <c r="J51" s="4"/>
      <c r="K51" s="4"/>
    </row>
    <row r="52" spans="1:19" x14ac:dyDescent="0.35">
      <c r="A52" t="s">
        <v>20</v>
      </c>
      <c r="B52" s="4">
        <f t="shared" ref="B52:K52" si="1">IF(B50&lt;68507,37.35%*B50,(37.35%*68507+(B50-68507)*49.5%))</f>
        <v>896.4</v>
      </c>
      <c r="C52" s="4">
        <f t="shared" si="1"/>
        <v>3548.25</v>
      </c>
      <c r="D52" s="4">
        <f t="shared" si="1"/>
        <v>5378.4</v>
      </c>
      <c r="E52" s="4">
        <f t="shared" si="1"/>
        <v>6984.45</v>
      </c>
      <c r="F52" s="4">
        <f t="shared" si="1"/>
        <v>9225.4500000000007</v>
      </c>
      <c r="G52" s="4">
        <f t="shared" si="1"/>
        <v>11802.6</v>
      </c>
      <c r="H52" s="4">
        <f t="shared" si="1"/>
        <v>14902.65</v>
      </c>
      <c r="I52" s="4">
        <f t="shared" si="1"/>
        <v>18562.95</v>
      </c>
      <c r="J52" s="4">
        <f t="shared" si="1"/>
        <v>24090.75</v>
      </c>
      <c r="K52" s="4">
        <f t="shared" si="1"/>
        <v>48007.3995</v>
      </c>
    </row>
    <row r="53" spans="1:19" x14ac:dyDescent="0.35">
      <c r="A53" t="s">
        <v>21</v>
      </c>
      <c r="B53" s="4">
        <f t="shared" ref="B53:K53" si="2">IF(B50&lt;20711,2711,IF(B50&lt;68507,(2711-0.05672*(B50-20711)),0))</f>
        <v>2711</v>
      </c>
      <c r="C53" s="4">
        <f t="shared" si="2"/>
        <v>2711</v>
      </c>
      <c r="D53" s="4">
        <f t="shared" si="2"/>
        <v>2711</v>
      </c>
      <c r="E53" s="4">
        <f t="shared" si="2"/>
        <v>2711</v>
      </c>
      <c r="F53" s="4">
        <f t="shared" si="2"/>
        <v>2484.7439199999999</v>
      </c>
      <c r="G53" s="4">
        <f t="shared" si="2"/>
        <v>2093.37592</v>
      </c>
      <c r="H53" s="4">
        <f t="shared" si="2"/>
        <v>1622.5999200000001</v>
      </c>
      <c r="I53" s="4">
        <f t="shared" si="2"/>
        <v>1066.7439200000001</v>
      </c>
      <c r="J53" s="4">
        <f t="shared" si="2"/>
        <v>227.28792000000021</v>
      </c>
      <c r="K53" s="4">
        <f t="shared" si="2"/>
        <v>0</v>
      </c>
      <c r="R53" t="s">
        <v>76</v>
      </c>
    </row>
    <row r="54" spans="1:19" x14ac:dyDescent="0.35">
      <c r="A54" t="s">
        <v>23</v>
      </c>
      <c r="B54" s="4">
        <f t="shared" ref="B54:K54" si="3">IF(B50&lt;9921,0.02812*B50,IF(B50&lt;21430,279+0.28812*(B50-9921),IF(B50&lt;34954,3595+0.01656*(B50-21430),IF(B50&lt;98604,3819-0.06*(B50-34954),0))))</f>
        <v>67.488</v>
      </c>
      <c r="C54" s="4">
        <f t="shared" si="3"/>
        <v>267.14</v>
      </c>
      <c r="D54" s="4">
        <f t="shared" si="3"/>
        <v>1569.48948</v>
      </c>
      <c r="E54" s="4">
        <f t="shared" si="3"/>
        <v>2808.4054799999999</v>
      </c>
      <c r="F54" s="4">
        <f t="shared" si="3"/>
        <v>3649.1511999999998</v>
      </c>
      <c r="G54" s="4">
        <f t="shared" si="3"/>
        <v>3763.4151999999999</v>
      </c>
      <c r="H54" s="4">
        <f t="shared" si="3"/>
        <v>3522.24</v>
      </c>
      <c r="I54" s="4">
        <f t="shared" si="3"/>
        <v>2934.24</v>
      </c>
      <c r="J54" s="4">
        <f t="shared" si="3"/>
        <v>2046.24</v>
      </c>
      <c r="K54" s="4">
        <f t="shared" si="3"/>
        <v>0</v>
      </c>
      <c r="O54" t="s">
        <v>74</v>
      </c>
      <c r="R54" s="10">
        <f>K50/SUM(B50:K50)*100%</f>
        <v>0.30823401950162516</v>
      </c>
      <c r="S54" s="10"/>
    </row>
    <row r="55" spans="1:19" x14ac:dyDescent="0.35">
      <c r="A55" t="s">
        <v>24</v>
      </c>
      <c r="B55" s="4">
        <f>IF(B52-B53-B54&lt;0,0,B52-B53-B54)</f>
        <v>0</v>
      </c>
      <c r="C55" s="4">
        <f t="shared" ref="C55:K55" si="4">IF(C52-C53-C54&lt;0,0,C52-C53-C54)</f>
        <v>570.11</v>
      </c>
      <c r="D55" s="4">
        <f t="shared" si="4"/>
        <v>1097.9105199999997</v>
      </c>
      <c r="E55" s="4">
        <f t="shared" si="4"/>
        <v>1465.0445199999999</v>
      </c>
      <c r="F55" s="4">
        <f t="shared" si="4"/>
        <v>3091.554880000001</v>
      </c>
      <c r="G55" s="4">
        <f t="shared" si="4"/>
        <v>5945.8088800000005</v>
      </c>
      <c r="H55" s="4">
        <f t="shared" si="4"/>
        <v>9757.8100799999993</v>
      </c>
      <c r="I55" s="4">
        <f t="shared" si="4"/>
        <v>14561.96608</v>
      </c>
      <c r="J55" s="4">
        <f t="shared" si="4"/>
        <v>21817.22208</v>
      </c>
      <c r="K55" s="4">
        <f t="shared" si="4"/>
        <v>48007.3995</v>
      </c>
      <c r="M55" s="3">
        <f>($B$38/10)*SUM(B55:K55)</f>
        <v>110240554667.40279</v>
      </c>
      <c r="O55" t="s">
        <v>75</v>
      </c>
      <c r="R55" s="10">
        <f>SUM(B50:F50)/SUM(B50:K50)</f>
        <v>0.18878656554712892</v>
      </c>
      <c r="S55" s="10"/>
    </row>
    <row r="56" spans="1:19" x14ac:dyDescent="0.35">
      <c r="A56" t="s">
        <v>25</v>
      </c>
      <c r="B56" s="4">
        <f t="shared" ref="B56:K56" si="5">B50-B55</f>
        <v>2400</v>
      </c>
      <c r="C56" s="4">
        <f t="shared" si="5"/>
        <v>8929.89</v>
      </c>
      <c r="D56" s="4">
        <f t="shared" si="5"/>
        <v>13302.089480000001</v>
      </c>
      <c r="E56" s="4">
        <f t="shared" si="5"/>
        <v>17234.955480000001</v>
      </c>
      <c r="F56" s="4">
        <f t="shared" si="5"/>
        <v>21608.44512</v>
      </c>
      <c r="G56" s="4">
        <f t="shared" si="5"/>
        <v>25654.19112</v>
      </c>
      <c r="H56" s="4">
        <f t="shared" si="5"/>
        <v>30142.189920000001</v>
      </c>
      <c r="I56" s="4">
        <f t="shared" si="5"/>
        <v>35138.033920000002</v>
      </c>
      <c r="J56" s="4">
        <f t="shared" si="5"/>
        <v>42682.77792</v>
      </c>
      <c r="K56" s="4">
        <f t="shared" si="5"/>
        <v>65792.6005</v>
      </c>
    </row>
    <row r="57" spans="1:19" x14ac:dyDescent="0.35">
      <c r="A57" t="s">
        <v>65</v>
      </c>
      <c r="B57" s="4"/>
      <c r="C57" s="4">
        <f>C56</f>
        <v>8929.89</v>
      </c>
      <c r="D57" s="4">
        <f t="shared" ref="D57:I57" si="6">D56</f>
        <v>13302.089480000001</v>
      </c>
      <c r="E57" s="4">
        <f t="shared" si="6"/>
        <v>17234.955480000001</v>
      </c>
      <c r="F57" s="4">
        <f t="shared" si="6"/>
        <v>21608.44512</v>
      </c>
      <c r="G57" s="4">
        <f t="shared" si="6"/>
        <v>25654.19112</v>
      </c>
      <c r="H57" s="4">
        <f t="shared" si="6"/>
        <v>30142.189920000001</v>
      </c>
      <c r="I57" s="4">
        <f t="shared" si="6"/>
        <v>35138.033920000002</v>
      </c>
      <c r="J57" s="4"/>
      <c r="K57" s="4"/>
    </row>
    <row r="58" spans="1:19" x14ac:dyDescent="0.35">
      <c r="B58" s="3"/>
      <c r="C58" s="3"/>
      <c r="D58" s="3"/>
      <c r="E58" s="3"/>
      <c r="F58" s="3"/>
      <c r="G58" s="3"/>
      <c r="H58" s="3"/>
      <c r="I58" s="3"/>
      <c r="J58" s="3"/>
      <c r="K58" s="3"/>
    </row>
    <row r="59" spans="1:19" x14ac:dyDescent="0.35">
      <c r="A59" t="s">
        <v>30</v>
      </c>
      <c r="B59" s="3"/>
      <c r="C59" s="3"/>
      <c r="J59" s="3"/>
      <c r="K59" s="3"/>
    </row>
    <row r="60" spans="1:19" x14ac:dyDescent="0.35">
      <c r="A60" t="s">
        <v>120</v>
      </c>
      <c r="B60" s="3"/>
      <c r="C60" s="3"/>
      <c r="D60" s="4">
        <f t="shared" ref="D60:J60" si="7">D50</f>
        <v>14400</v>
      </c>
      <c r="E60" s="4">
        <f t="shared" si="7"/>
        <v>18700</v>
      </c>
      <c r="F60" s="4">
        <f t="shared" si="7"/>
        <v>24700</v>
      </c>
      <c r="G60" s="4">
        <f t="shared" si="7"/>
        <v>31600</v>
      </c>
      <c r="H60" s="4">
        <f t="shared" si="7"/>
        <v>39900</v>
      </c>
      <c r="I60" s="4">
        <f t="shared" si="7"/>
        <v>49700</v>
      </c>
      <c r="J60" s="4">
        <f t="shared" si="7"/>
        <v>64500</v>
      </c>
      <c r="K60" s="3"/>
    </row>
    <row r="61" spans="1:19" x14ac:dyDescent="0.35">
      <c r="A61" t="s">
        <v>31</v>
      </c>
      <c r="B61" s="3"/>
      <c r="C61" s="3"/>
      <c r="D61" s="4">
        <f t="shared" ref="D61:J61" si="8">IF(D60&lt;35376,19.45%*D60,IF(D60&lt;68507,6880+(D60-35376)*37.35%,6880+12374+(D60-68507)*49.5%))</f>
        <v>2800.8</v>
      </c>
      <c r="E61" s="4">
        <f t="shared" si="8"/>
        <v>3637.15</v>
      </c>
      <c r="F61" s="4">
        <f t="shared" si="8"/>
        <v>4804.1500000000005</v>
      </c>
      <c r="G61" s="4">
        <f t="shared" si="8"/>
        <v>6146.2</v>
      </c>
      <c r="H61" s="4">
        <f t="shared" si="8"/>
        <v>8569.7139999999999</v>
      </c>
      <c r="I61" s="4">
        <f t="shared" si="8"/>
        <v>12230.013999999999</v>
      </c>
      <c r="J61" s="4">
        <f t="shared" si="8"/>
        <v>17757.813999999998</v>
      </c>
      <c r="K61" s="3"/>
    </row>
    <row r="62" spans="1:19" x14ac:dyDescent="0.35">
      <c r="A62" t="s">
        <v>21</v>
      </c>
      <c r="B62" s="3"/>
      <c r="C62" s="3"/>
      <c r="D62" s="4">
        <f>IF(D60&lt;20711,1413,IF(D60&lt;68507,(1413-0.02954*(D60-20711)),0))</f>
        <v>1413</v>
      </c>
      <c r="E62" s="4">
        <f t="shared" ref="E62:J62" si="9">IF(E60&lt;20711,1413,IF(E60&lt;68507,(1413-0.02954*(E60-20711)),0))</f>
        <v>1413</v>
      </c>
      <c r="F62" s="4">
        <f t="shared" si="9"/>
        <v>1295.1649400000001</v>
      </c>
      <c r="G62" s="4">
        <f t="shared" si="9"/>
        <v>1091.3389400000001</v>
      </c>
      <c r="H62" s="4">
        <f t="shared" si="9"/>
        <v>846.15693999999996</v>
      </c>
      <c r="I62" s="4">
        <f t="shared" si="9"/>
        <v>556.66494</v>
      </c>
      <c r="J62" s="4">
        <f t="shared" si="9"/>
        <v>119.47293999999988</v>
      </c>
      <c r="K62" s="3"/>
    </row>
    <row r="63" spans="1:19" x14ac:dyDescent="0.35">
      <c r="A63" t="s">
        <v>35</v>
      </c>
      <c r="B63" s="3"/>
      <c r="C63" s="3"/>
      <c r="D63" s="4">
        <f>IF(D60&lt;37372,1622,IF(D60&lt;37372,1622-0.15*(D60-37372),0))</f>
        <v>1622</v>
      </c>
      <c r="E63" s="4">
        <f t="shared" ref="E63:J63" si="10">IF(E60&lt;37372,1622,IF(E60&lt;37372,1622-0.15*(E60-37372),0))</f>
        <v>1622</v>
      </c>
      <c r="F63" s="4">
        <f t="shared" si="10"/>
        <v>1622</v>
      </c>
      <c r="G63" s="4">
        <f t="shared" si="10"/>
        <v>1622</v>
      </c>
      <c r="H63" s="4">
        <f t="shared" si="10"/>
        <v>0</v>
      </c>
      <c r="I63" s="4">
        <f t="shared" si="10"/>
        <v>0</v>
      </c>
      <c r="J63" s="4">
        <f t="shared" si="10"/>
        <v>0</v>
      </c>
      <c r="K63" s="3"/>
    </row>
    <row r="64" spans="1:19" x14ac:dyDescent="0.35">
      <c r="A64" t="s">
        <v>24</v>
      </c>
      <c r="B64" s="3"/>
      <c r="C64" s="3"/>
      <c r="D64" s="4">
        <f t="shared" ref="D64:J64" si="11">IF(D61-D62-D63&lt;0,0,D61-D62-D63)</f>
        <v>0</v>
      </c>
      <c r="E64" s="4">
        <f t="shared" si="11"/>
        <v>602.15000000000009</v>
      </c>
      <c r="F64" s="4">
        <f t="shared" si="11"/>
        <v>1886.9850600000004</v>
      </c>
      <c r="G64" s="4">
        <f t="shared" si="11"/>
        <v>3432.8610599999993</v>
      </c>
      <c r="H64" s="4">
        <f t="shared" si="11"/>
        <v>7723.5570600000001</v>
      </c>
      <c r="I64" s="4">
        <f t="shared" si="11"/>
        <v>11673.349059999999</v>
      </c>
      <c r="J64" s="4">
        <f t="shared" si="11"/>
        <v>17638.341059999999</v>
      </c>
      <c r="K64" s="3"/>
      <c r="M64" s="3">
        <f>($B$37/7)*SUM(D64:J64)</f>
        <v>19153223335.19014</v>
      </c>
    </row>
    <row r="65" spans="1:13" x14ac:dyDescent="0.35">
      <c r="A65" t="s">
        <v>25</v>
      </c>
      <c r="B65" s="3"/>
      <c r="C65" s="3"/>
      <c r="D65" s="4">
        <f>D60-D64</f>
        <v>14400</v>
      </c>
      <c r="E65" s="4">
        <f t="shared" ref="E65:J65" si="12">E60-E64</f>
        <v>18097.849999999999</v>
      </c>
      <c r="F65" s="4">
        <f t="shared" si="12"/>
        <v>22813.014940000001</v>
      </c>
      <c r="G65" s="4">
        <f t="shared" si="12"/>
        <v>28167.138940000001</v>
      </c>
      <c r="H65" s="4">
        <f t="shared" si="12"/>
        <v>32176.442940000001</v>
      </c>
      <c r="I65" s="4">
        <f t="shared" si="12"/>
        <v>38026.65094</v>
      </c>
      <c r="J65" s="4">
        <f t="shared" si="12"/>
        <v>46861.658940000001</v>
      </c>
      <c r="K65" s="3"/>
      <c r="M65" s="3"/>
    </row>
    <row r="66" spans="1:13" x14ac:dyDescent="0.35">
      <c r="B66" s="3"/>
      <c r="C66" s="3"/>
      <c r="D66" s="4"/>
      <c r="E66" s="4"/>
      <c r="F66" s="4"/>
      <c r="G66" s="4"/>
      <c r="H66" s="4"/>
      <c r="I66" s="4"/>
      <c r="J66" s="3"/>
      <c r="K66" s="3"/>
    </row>
    <row r="67" spans="1:13" x14ac:dyDescent="0.35">
      <c r="A67" t="s">
        <v>32</v>
      </c>
      <c r="B67" s="3"/>
      <c r="C67" s="3"/>
      <c r="D67" s="4"/>
      <c r="E67" s="4"/>
      <c r="F67" s="4"/>
      <c r="G67" s="4"/>
      <c r="H67" s="4"/>
      <c r="I67" s="4"/>
      <c r="J67" s="3"/>
      <c r="K67" s="3"/>
      <c r="M67" s="13">
        <f>SUM(M55:M65)</f>
        <v>129393778002.59293</v>
      </c>
    </row>
    <row r="68" spans="1:13" x14ac:dyDescent="0.35">
      <c r="B68" s="3"/>
      <c r="C68" s="3"/>
      <c r="D68" s="4"/>
      <c r="E68" s="4"/>
      <c r="F68" s="4"/>
      <c r="G68" s="4"/>
      <c r="H68" s="4"/>
      <c r="I68" s="4"/>
      <c r="J68" s="3"/>
      <c r="K68" s="3"/>
      <c r="M68" s="3"/>
    </row>
    <row r="69" spans="1:13" x14ac:dyDescent="0.35">
      <c r="A69" t="s">
        <v>109</v>
      </c>
      <c r="B69" s="23">
        <f t="shared" ref="B69:K69" si="13">B55/B50</f>
        <v>0</v>
      </c>
      <c r="C69" s="23">
        <f t="shared" si="13"/>
        <v>6.0011578947368423E-2</v>
      </c>
      <c r="D69" s="23">
        <f t="shared" si="13"/>
        <v>7.6243786111111087E-2</v>
      </c>
      <c r="E69" s="23">
        <f t="shared" si="13"/>
        <v>7.834462673796791E-2</v>
      </c>
      <c r="F69" s="23">
        <f t="shared" si="13"/>
        <v>0.12516416518218629</v>
      </c>
      <c r="G69" s="23">
        <f t="shared" si="13"/>
        <v>0.18815850886075952</v>
      </c>
      <c r="H69" s="23">
        <f t="shared" si="13"/>
        <v>0.24455664360902254</v>
      </c>
      <c r="I69" s="23">
        <f t="shared" si="13"/>
        <v>0.29299730543259556</v>
      </c>
      <c r="J69" s="23">
        <f t="shared" si="13"/>
        <v>0.33825150511627905</v>
      </c>
      <c r="K69" s="23">
        <f t="shared" si="13"/>
        <v>0.42185764059753955</v>
      </c>
      <c r="M69" s="3"/>
    </row>
    <row r="70" spans="1:13" x14ac:dyDescent="0.35">
      <c r="B70" s="3"/>
      <c r="C70" s="3"/>
      <c r="D70" s="3"/>
      <c r="E70" s="3"/>
      <c r="F70" s="3"/>
      <c r="G70" s="3"/>
      <c r="H70" s="3"/>
      <c r="I70" s="3"/>
      <c r="J70" s="3"/>
      <c r="K70" s="3"/>
    </row>
    <row r="71" spans="1:13" ht="18.5" x14ac:dyDescent="0.45">
      <c r="A71" s="5" t="s">
        <v>184</v>
      </c>
    </row>
    <row r="72" spans="1:13" ht="18.5" x14ac:dyDescent="0.45">
      <c r="A72" s="5" t="s">
        <v>22</v>
      </c>
    </row>
    <row r="73" spans="1:13" x14ac:dyDescent="0.35">
      <c r="A73" t="str">
        <f t="shared" ref="A73:K73" si="14">A48</f>
        <v>Deciel</v>
      </c>
      <c r="B73" s="4">
        <f t="shared" si="14"/>
        <v>1</v>
      </c>
      <c r="C73" s="4">
        <f t="shared" si="14"/>
        <v>2</v>
      </c>
      <c r="D73" s="4">
        <f t="shared" si="14"/>
        <v>3</v>
      </c>
      <c r="E73" s="4">
        <f t="shared" si="14"/>
        <v>4</v>
      </c>
      <c r="F73" s="4">
        <f t="shared" si="14"/>
        <v>5</v>
      </c>
      <c r="G73" s="4">
        <f t="shared" si="14"/>
        <v>6</v>
      </c>
      <c r="H73" s="4">
        <f t="shared" si="14"/>
        <v>7</v>
      </c>
      <c r="I73" s="4">
        <f t="shared" si="14"/>
        <v>8</v>
      </c>
      <c r="J73" s="4">
        <f t="shared" si="14"/>
        <v>9</v>
      </c>
      <c r="K73" s="4">
        <f t="shared" si="14"/>
        <v>10</v>
      </c>
    </row>
    <row r="74" spans="1:13" x14ac:dyDescent="0.35">
      <c r="B74" s="4"/>
      <c r="C74" s="4"/>
      <c r="D74" s="4"/>
      <c r="E74" s="4"/>
      <c r="F74" s="4"/>
      <c r="G74" s="4"/>
      <c r="H74" s="4"/>
      <c r="I74" s="4"/>
      <c r="J74" s="4"/>
      <c r="K74" s="4"/>
    </row>
    <row r="75" spans="1:13" x14ac:dyDescent="0.35">
      <c r="A75" t="str">
        <f t="shared" ref="A75:K75" si="15">A50</f>
        <v>Persoonlijk bruto inkomen (CBS, 2018)</v>
      </c>
      <c r="B75" s="4">
        <f t="shared" si="15"/>
        <v>2400</v>
      </c>
      <c r="C75" s="4">
        <f t="shared" si="15"/>
        <v>9500</v>
      </c>
      <c r="D75" s="4">
        <f t="shared" si="15"/>
        <v>14400</v>
      </c>
      <c r="E75" s="4">
        <f t="shared" si="15"/>
        <v>18700</v>
      </c>
      <c r="F75" s="4">
        <f t="shared" si="15"/>
        <v>24700</v>
      </c>
      <c r="G75" s="4">
        <f t="shared" si="15"/>
        <v>31600</v>
      </c>
      <c r="H75" s="4">
        <f t="shared" si="15"/>
        <v>39900</v>
      </c>
      <c r="I75" s="4">
        <f t="shared" si="15"/>
        <v>49700</v>
      </c>
      <c r="J75" s="4">
        <f t="shared" si="15"/>
        <v>64500</v>
      </c>
      <c r="K75" s="4">
        <f t="shared" si="15"/>
        <v>113800</v>
      </c>
    </row>
    <row r="76" spans="1:13" x14ac:dyDescent="0.35">
      <c r="A76" t="s">
        <v>181</v>
      </c>
      <c r="B76" s="4">
        <f t="shared" ref="B76:K76" si="16">B75+B42</f>
        <v>3900</v>
      </c>
      <c r="C76" s="4">
        <f t="shared" si="16"/>
        <v>20500</v>
      </c>
      <c r="D76" s="4">
        <f t="shared" si="16"/>
        <v>26945.4</v>
      </c>
      <c r="E76" s="4">
        <f t="shared" si="16"/>
        <v>30884.2</v>
      </c>
      <c r="F76" s="4">
        <f t="shared" si="16"/>
        <v>36380.199999999997</v>
      </c>
      <c r="G76" s="4">
        <f t="shared" si="16"/>
        <v>42700.6</v>
      </c>
      <c r="H76" s="4">
        <f t="shared" si="16"/>
        <v>50303.4</v>
      </c>
      <c r="I76" s="4">
        <f t="shared" si="16"/>
        <v>59280.2</v>
      </c>
      <c r="J76" s="4">
        <f t="shared" si="16"/>
        <v>72837</v>
      </c>
      <c r="K76" s="4">
        <f t="shared" si="16"/>
        <v>117995.8</v>
      </c>
    </row>
    <row r="77" spans="1:13" x14ac:dyDescent="0.35">
      <c r="A77" t="str">
        <f t="shared" ref="A77:A82" si="17">A51</f>
        <v>WERKENDEN</v>
      </c>
      <c r="B77" s="4"/>
      <c r="C77" s="4"/>
      <c r="D77" s="4"/>
      <c r="E77" s="4"/>
      <c r="F77" s="4"/>
      <c r="G77" s="4"/>
      <c r="H77" s="4"/>
      <c r="I77" s="4"/>
      <c r="J77" s="4"/>
      <c r="K77" s="4"/>
    </row>
    <row r="78" spans="1:13" x14ac:dyDescent="0.35">
      <c r="A78" t="str">
        <f t="shared" si="17"/>
        <v>IB werkenden (37,35%&lt;68507&lt;49,5%0</v>
      </c>
      <c r="B78" s="4">
        <f>IF(B76&lt;68507,37.35%*B76,(37.35%*68507+(B76-68507)*49.5%))</f>
        <v>1456.65</v>
      </c>
      <c r="C78" s="4">
        <f t="shared" ref="C78:K78" si="18">IF(C76&lt;68507,37.35%*C76,(37.35%*68507+(C76-68507)*49.5%))</f>
        <v>7656.75</v>
      </c>
      <c r="D78" s="4">
        <f t="shared" si="18"/>
        <v>10064.106900000001</v>
      </c>
      <c r="E78" s="4">
        <f t="shared" si="18"/>
        <v>11535.2487</v>
      </c>
      <c r="F78" s="4">
        <f t="shared" si="18"/>
        <v>13588.0047</v>
      </c>
      <c r="G78" s="4">
        <f t="shared" si="18"/>
        <v>15948.6741</v>
      </c>
      <c r="H78" s="4">
        <f t="shared" si="18"/>
        <v>18788.319900000002</v>
      </c>
      <c r="I78" s="4">
        <f t="shared" si="18"/>
        <v>22141.154699999999</v>
      </c>
      <c r="J78" s="4">
        <f t="shared" si="18"/>
        <v>27730.714499999998</v>
      </c>
      <c r="K78" s="4">
        <f t="shared" si="18"/>
        <v>50084.320500000002</v>
      </c>
    </row>
    <row r="79" spans="1:13" x14ac:dyDescent="0.35">
      <c r="A79" t="str">
        <f t="shared" si="17"/>
        <v>Algemene Heffingskorting</v>
      </c>
      <c r="B79" s="4">
        <f t="shared" ref="B79:K79" si="19">IF(B76&lt;20711,2711,IF(B76&lt;68507,(2711-0.05672*(B76-20711)),0))</f>
        <v>2711</v>
      </c>
      <c r="C79" s="4">
        <f t="shared" si="19"/>
        <v>2711</v>
      </c>
      <c r="D79" s="4">
        <f t="shared" si="19"/>
        <v>2357.3848319999997</v>
      </c>
      <c r="E79" s="4">
        <f t="shared" si="19"/>
        <v>2133.9760959999999</v>
      </c>
      <c r="F79" s="4">
        <f t="shared" si="19"/>
        <v>1822.2429760000002</v>
      </c>
      <c r="G79" s="4">
        <f t="shared" si="19"/>
        <v>1463.7498880000001</v>
      </c>
      <c r="H79" s="4">
        <f t="shared" si="19"/>
        <v>1032.5190719999998</v>
      </c>
      <c r="I79" s="4">
        <f t="shared" si="19"/>
        <v>523.35497600000008</v>
      </c>
      <c r="J79" s="4">
        <f t="shared" si="19"/>
        <v>0</v>
      </c>
      <c r="K79" s="4">
        <f t="shared" si="19"/>
        <v>0</v>
      </c>
    </row>
    <row r="80" spans="1:13" x14ac:dyDescent="0.35">
      <c r="A80" t="str">
        <f t="shared" si="17"/>
        <v>Arbeidskorting</v>
      </c>
      <c r="B80" s="4">
        <f t="shared" ref="B80:K80" si="20">IF(B76&lt;9921,0.02812*B76,IF(B76&lt;21430,279+0.28812*(B76-9921),IF(B76&lt;34954,3595+0.01656*(B76-21430),IF(B76&lt;98604,3819-0.06*(B76-34954),0))))</f>
        <v>109.66799999999999</v>
      </c>
      <c r="C80" s="4">
        <f t="shared" si="20"/>
        <v>3327.0214799999999</v>
      </c>
      <c r="D80" s="4">
        <f t="shared" si="20"/>
        <v>3686.335024</v>
      </c>
      <c r="E80" s="4">
        <f t="shared" si="20"/>
        <v>3751.5615520000001</v>
      </c>
      <c r="F80" s="4">
        <f t="shared" si="20"/>
        <v>3733.4280000000003</v>
      </c>
      <c r="G80" s="4">
        <f t="shared" si="20"/>
        <v>3354.2040000000002</v>
      </c>
      <c r="H80" s="4">
        <f t="shared" si="20"/>
        <v>2898.0360000000001</v>
      </c>
      <c r="I80" s="4">
        <f t="shared" si="20"/>
        <v>2359.4280000000003</v>
      </c>
      <c r="J80" s="4">
        <f t="shared" si="20"/>
        <v>1546.02</v>
      </c>
      <c r="K80" s="4">
        <f t="shared" si="20"/>
        <v>0</v>
      </c>
    </row>
    <row r="81" spans="1:27" x14ac:dyDescent="0.35">
      <c r="A81" t="str">
        <f t="shared" si="17"/>
        <v>Netto Belasting</v>
      </c>
      <c r="B81" s="4">
        <v>0</v>
      </c>
      <c r="C81" s="4">
        <f t="shared" ref="C81:K81" si="21">C78-C79-C80</f>
        <v>1618.7285200000001</v>
      </c>
      <c r="D81" s="4">
        <f t="shared" si="21"/>
        <v>4020.387044000001</v>
      </c>
      <c r="E81" s="4">
        <f t="shared" si="21"/>
        <v>5649.7110519999997</v>
      </c>
      <c r="F81" s="4">
        <f t="shared" si="21"/>
        <v>8032.3337240000001</v>
      </c>
      <c r="G81" s="4">
        <f t="shared" si="21"/>
        <v>11130.720212</v>
      </c>
      <c r="H81" s="4">
        <f t="shared" si="21"/>
        <v>14857.764828000003</v>
      </c>
      <c r="I81" s="4">
        <f t="shared" si="21"/>
        <v>19258.371724000001</v>
      </c>
      <c r="J81" s="4">
        <f t="shared" si="21"/>
        <v>26184.694499999998</v>
      </c>
      <c r="K81" s="4">
        <f t="shared" si="21"/>
        <v>50084.320500000002</v>
      </c>
      <c r="M81" s="3">
        <f>($B$38/10)*SUM(B81:K81)</f>
        <v>146037509932.95624</v>
      </c>
    </row>
    <row r="82" spans="1:27" x14ac:dyDescent="0.35">
      <c r="A82" t="str">
        <f t="shared" si="17"/>
        <v>Besteedbaar inkomen</v>
      </c>
      <c r="B82" s="4">
        <f>B76-B81</f>
        <v>3900</v>
      </c>
      <c r="C82" s="4">
        <f t="shared" ref="C82:K82" si="22">C76-C81</f>
        <v>18881.271479999999</v>
      </c>
      <c r="D82" s="4">
        <f t="shared" si="22"/>
        <v>22925.012955999999</v>
      </c>
      <c r="E82" s="4">
        <f t="shared" si="22"/>
        <v>25234.488948000002</v>
      </c>
      <c r="F82" s="4">
        <f t="shared" si="22"/>
        <v>28347.866275999997</v>
      </c>
      <c r="G82" s="4">
        <f t="shared" si="22"/>
        <v>31569.879787999998</v>
      </c>
      <c r="H82" s="4">
        <f t="shared" si="22"/>
        <v>35445.635171999995</v>
      </c>
      <c r="I82" s="4">
        <f t="shared" si="22"/>
        <v>40021.828276</v>
      </c>
      <c r="J82" s="4">
        <f t="shared" si="22"/>
        <v>46652.305500000002</v>
      </c>
      <c r="K82" s="4">
        <f t="shared" si="22"/>
        <v>67911.479500000001</v>
      </c>
    </row>
    <row r="84" spans="1:27" x14ac:dyDescent="0.35">
      <c r="A84" t="s">
        <v>30</v>
      </c>
    </row>
    <row r="85" spans="1:27" x14ac:dyDescent="0.35">
      <c r="A85" t="s">
        <v>16</v>
      </c>
      <c r="D85" s="4">
        <f>D76</f>
        <v>26945.4</v>
      </c>
      <c r="E85" s="4">
        <f t="shared" ref="E85:J85" si="23">E76</f>
        <v>30884.2</v>
      </c>
      <c r="F85" s="4">
        <f t="shared" si="23"/>
        <v>36380.199999999997</v>
      </c>
      <c r="G85" s="4">
        <f t="shared" si="23"/>
        <v>42700.6</v>
      </c>
      <c r="H85" s="4">
        <f t="shared" si="23"/>
        <v>50303.4</v>
      </c>
      <c r="I85" s="4">
        <f t="shared" si="23"/>
        <v>59280.2</v>
      </c>
      <c r="J85" s="4">
        <f t="shared" si="23"/>
        <v>72837</v>
      </c>
      <c r="K85" s="4"/>
      <c r="Q85" t="s">
        <v>78</v>
      </c>
    </row>
    <row r="86" spans="1:27" x14ac:dyDescent="0.35">
      <c r="A86" t="s">
        <v>31</v>
      </c>
      <c r="D86" s="4">
        <f>IF(D85&lt;35376,19.45%*D85,IF(D85&lt;68507,6880+(D85-35376)*37.35%,6880+12374+(D85-68507)*49.5%))</f>
        <v>5240.8803000000007</v>
      </c>
      <c r="E86" s="4">
        <f t="shared" ref="E86:J86" si="24">IF(E85&lt;35376,19.45%*E85,IF(E85&lt;68507,6880+(E85-35376)*37.35%,6880+12374+(E85-68507)*49.5%))</f>
        <v>6006.9769000000006</v>
      </c>
      <c r="F86" s="4">
        <f t="shared" si="24"/>
        <v>7255.0686999999989</v>
      </c>
      <c r="G86" s="4">
        <f t="shared" si="24"/>
        <v>9615.7380999999987</v>
      </c>
      <c r="H86" s="4">
        <f t="shared" si="24"/>
        <v>12455.383900000001</v>
      </c>
      <c r="I86" s="4">
        <f t="shared" si="24"/>
        <v>15808.218699999999</v>
      </c>
      <c r="J86" s="4">
        <f t="shared" si="24"/>
        <v>21397.35</v>
      </c>
      <c r="K86" s="4"/>
      <c r="Q86" t="s">
        <v>19</v>
      </c>
      <c r="R86">
        <f t="shared" ref="R86:AA86" si="25">B48</f>
        <v>1</v>
      </c>
      <c r="S86">
        <f t="shared" si="25"/>
        <v>2</v>
      </c>
      <c r="T86">
        <f t="shared" si="25"/>
        <v>3</v>
      </c>
      <c r="U86">
        <f t="shared" si="25"/>
        <v>4</v>
      </c>
      <c r="V86">
        <f t="shared" si="25"/>
        <v>5</v>
      </c>
      <c r="W86">
        <f t="shared" si="25"/>
        <v>6</v>
      </c>
      <c r="X86">
        <f t="shared" si="25"/>
        <v>7</v>
      </c>
      <c r="Y86">
        <f t="shared" si="25"/>
        <v>8</v>
      </c>
      <c r="Z86">
        <f t="shared" si="25"/>
        <v>9</v>
      </c>
      <c r="AA86">
        <f t="shared" si="25"/>
        <v>10</v>
      </c>
    </row>
    <row r="87" spans="1:27" x14ac:dyDescent="0.35">
      <c r="A87" t="s">
        <v>21</v>
      </c>
      <c r="D87" s="4">
        <f t="shared" ref="D87:J87" si="26">IF(D85&lt;20711,1413,IF(D85&lt;68507,(1413-0.02954*(D85-20711)),0))</f>
        <v>1228.835824</v>
      </c>
      <c r="E87" s="4">
        <f t="shared" si="26"/>
        <v>1112.4836719999998</v>
      </c>
      <c r="F87" s="4">
        <f t="shared" si="26"/>
        <v>950.13183200000003</v>
      </c>
      <c r="G87" s="4">
        <f t="shared" si="26"/>
        <v>763.42721600000004</v>
      </c>
      <c r="H87" s="4">
        <f t="shared" si="26"/>
        <v>538.8405039999999</v>
      </c>
      <c r="I87" s="4">
        <f t="shared" si="26"/>
        <v>273.66583200000014</v>
      </c>
      <c r="J87" s="4">
        <f t="shared" si="26"/>
        <v>0</v>
      </c>
      <c r="Q87" s="26" t="s">
        <v>79</v>
      </c>
      <c r="R87" s="14"/>
      <c r="S87" s="14"/>
      <c r="T87" s="14"/>
      <c r="U87" s="14"/>
      <c r="V87" s="14"/>
      <c r="W87" s="14"/>
      <c r="X87" s="14"/>
      <c r="Y87" s="14"/>
      <c r="Z87" s="14"/>
      <c r="AA87" s="14"/>
    </row>
    <row r="88" spans="1:27" x14ac:dyDescent="0.35">
      <c r="A88" t="s">
        <v>35</v>
      </c>
      <c r="D88">
        <f t="shared" ref="D88:J88" si="27">IF(D85&lt;37372,1622,IF(D85&lt;37372,1622-0.15*(D85-37372),0))</f>
        <v>1622</v>
      </c>
      <c r="E88">
        <f t="shared" si="27"/>
        <v>1622</v>
      </c>
      <c r="F88">
        <f t="shared" si="27"/>
        <v>1622</v>
      </c>
      <c r="G88">
        <f t="shared" si="27"/>
        <v>0</v>
      </c>
      <c r="H88">
        <f t="shared" si="27"/>
        <v>0</v>
      </c>
      <c r="I88">
        <f t="shared" si="27"/>
        <v>0</v>
      </c>
      <c r="J88">
        <f t="shared" si="27"/>
        <v>0</v>
      </c>
      <c r="Q88" s="14" t="s">
        <v>119</v>
      </c>
      <c r="R88" s="27">
        <f t="shared" ref="R88:AA88" si="28">B50</f>
        <v>2400</v>
      </c>
      <c r="S88" s="27">
        <f t="shared" si="28"/>
        <v>9500</v>
      </c>
      <c r="T88" s="27">
        <f t="shared" si="28"/>
        <v>14400</v>
      </c>
      <c r="U88" s="27">
        <f t="shared" si="28"/>
        <v>18700</v>
      </c>
      <c r="V88" s="27">
        <f t="shared" si="28"/>
        <v>24700</v>
      </c>
      <c r="W88" s="27">
        <f t="shared" si="28"/>
        <v>31600</v>
      </c>
      <c r="X88" s="27">
        <f t="shared" si="28"/>
        <v>39900</v>
      </c>
      <c r="Y88" s="27">
        <f t="shared" si="28"/>
        <v>49700</v>
      </c>
      <c r="Z88" s="27">
        <f t="shared" si="28"/>
        <v>64500</v>
      </c>
      <c r="AA88" s="27">
        <f t="shared" si="28"/>
        <v>113800</v>
      </c>
    </row>
    <row r="89" spans="1:27" x14ac:dyDescent="0.35">
      <c r="A89" t="s">
        <v>24</v>
      </c>
      <c r="D89" s="4">
        <f t="shared" ref="D89:J89" si="29">IF(D86-D87-D88&lt;0,0,D86-D87-D88)</f>
        <v>2390.0444760000009</v>
      </c>
      <c r="E89" s="4">
        <f t="shared" si="29"/>
        <v>3272.4932280000012</v>
      </c>
      <c r="F89" s="4">
        <f t="shared" si="29"/>
        <v>4682.9368679999989</v>
      </c>
      <c r="G89" s="4">
        <f t="shared" si="29"/>
        <v>8852.3108839999986</v>
      </c>
      <c r="H89" s="4">
        <f t="shared" si="29"/>
        <v>11916.543396000001</v>
      </c>
      <c r="I89" s="4">
        <f t="shared" si="29"/>
        <v>15534.552867999999</v>
      </c>
      <c r="J89" s="4">
        <f t="shared" si="29"/>
        <v>21397.35</v>
      </c>
      <c r="M89" s="3">
        <f>($B$37/7)*SUM(D89:J89)</f>
        <v>30339578919.191483</v>
      </c>
      <c r="Q89" s="14" t="s">
        <v>82</v>
      </c>
      <c r="R89" s="27">
        <f t="shared" ref="R89:AA89" si="30">B56</f>
        <v>2400</v>
      </c>
      <c r="S89" s="27">
        <f t="shared" si="30"/>
        <v>8929.89</v>
      </c>
      <c r="T89" s="27">
        <f t="shared" si="30"/>
        <v>13302.089480000001</v>
      </c>
      <c r="U89" s="27">
        <f t="shared" si="30"/>
        <v>17234.955480000001</v>
      </c>
      <c r="V89" s="27">
        <f t="shared" si="30"/>
        <v>21608.44512</v>
      </c>
      <c r="W89" s="27">
        <f t="shared" si="30"/>
        <v>25654.19112</v>
      </c>
      <c r="X89" s="27">
        <f t="shared" si="30"/>
        <v>30142.189920000001</v>
      </c>
      <c r="Y89" s="27">
        <f t="shared" si="30"/>
        <v>35138.033920000002</v>
      </c>
      <c r="Z89" s="27">
        <f t="shared" si="30"/>
        <v>42682.77792</v>
      </c>
      <c r="AA89" s="27">
        <f t="shared" si="30"/>
        <v>65792.6005</v>
      </c>
    </row>
    <row r="90" spans="1:27" x14ac:dyDescent="0.35">
      <c r="A90" t="s">
        <v>25</v>
      </c>
      <c r="D90" s="4">
        <f>D85-D89</f>
        <v>24555.355523999999</v>
      </c>
      <c r="E90" s="4">
        <f t="shared" ref="E90:J90" si="31">E85-E89</f>
        <v>27611.706771999998</v>
      </c>
      <c r="F90" s="4">
        <f t="shared" si="31"/>
        <v>31697.263132</v>
      </c>
      <c r="G90" s="4">
        <f t="shared" si="31"/>
        <v>33848.289116</v>
      </c>
      <c r="H90" s="4">
        <f t="shared" si="31"/>
        <v>38386.856604000001</v>
      </c>
      <c r="I90" s="4">
        <f t="shared" si="31"/>
        <v>43745.647131999998</v>
      </c>
      <c r="J90" s="4">
        <f t="shared" si="31"/>
        <v>51439.65</v>
      </c>
      <c r="Q90" s="14" t="s">
        <v>80</v>
      </c>
      <c r="R90" s="14"/>
      <c r="S90" s="14"/>
      <c r="T90" s="27">
        <f t="shared" ref="T90:Z90" si="32">D65</f>
        <v>14400</v>
      </c>
      <c r="U90" s="27">
        <f t="shared" si="32"/>
        <v>18097.849999999999</v>
      </c>
      <c r="V90" s="27">
        <f t="shared" si="32"/>
        <v>22813.014940000001</v>
      </c>
      <c r="W90" s="27">
        <f t="shared" si="32"/>
        <v>28167.138940000001</v>
      </c>
      <c r="X90" s="27">
        <f t="shared" si="32"/>
        <v>32176.442940000001</v>
      </c>
      <c r="Y90" s="27">
        <f t="shared" si="32"/>
        <v>38026.65094</v>
      </c>
      <c r="Z90" s="27">
        <f t="shared" si="32"/>
        <v>46861.658940000001</v>
      </c>
      <c r="AA90" s="14"/>
    </row>
    <row r="91" spans="1:27" x14ac:dyDescent="0.35">
      <c r="Q91" s="33" t="s">
        <v>81</v>
      </c>
      <c r="R91" s="33"/>
      <c r="S91" s="33"/>
      <c r="T91" s="33"/>
      <c r="U91" s="33"/>
      <c r="V91" s="33"/>
      <c r="W91" s="33"/>
      <c r="X91" s="33"/>
      <c r="Y91" s="33"/>
      <c r="Z91" s="33"/>
      <c r="AA91" s="33"/>
    </row>
    <row r="92" spans="1:27" x14ac:dyDescent="0.35">
      <c r="A92" t="s">
        <v>32</v>
      </c>
      <c r="M92" s="13">
        <f>SUM(M81:M90)</f>
        <v>176377088852.14771</v>
      </c>
      <c r="Q92" s="34" t="s">
        <v>119</v>
      </c>
      <c r="R92" s="35">
        <f>B116</f>
        <v>3900</v>
      </c>
      <c r="S92" s="35">
        <f t="shared" ref="S92:AA92" si="33">C116</f>
        <v>20500</v>
      </c>
      <c r="T92" s="35">
        <f t="shared" si="33"/>
        <v>26945.4</v>
      </c>
      <c r="U92" s="35">
        <f t="shared" si="33"/>
        <v>30884.2</v>
      </c>
      <c r="V92" s="35">
        <f t="shared" si="33"/>
        <v>36380.199999999997</v>
      </c>
      <c r="W92" s="35">
        <f t="shared" si="33"/>
        <v>42700.6</v>
      </c>
      <c r="X92" s="35">
        <f t="shared" si="33"/>
        <v>50303.4</v>
      </c>
      <c r="Y92" s="35">
        <f t="shared" si="33"/>
        <v>59280.2</v>
      </c>
      <c r="Z92" s="35">
        <f t="shared" si="33"/>
        <v>72837</v>
      </c>
      <c r="AA92" s="35">
        <f t="shared" si="33"/>
        <v>117995.8</v>
      </c>
    </row>
    <row r="93" spans="1:27" x14ac:dyDescent="0.35">
      <c r="A93" s="6" t="s">
        <v>36</v>
      </c>
      <c r="M93" s="22">
        <f>M92-M67</f>
        <v>46983310849.554779</v>
      </c>
      <c r="Q93" s="34" t="str">
        <f>Q89</f>
        <v>Besteedbaar inkomen werkenden</v>
      </c>
      <c r="R93" s="35">
        <f>B82</f>
        <v>3900</v>
      </c>
      <c r="S93" s="35">
        <f t="shared" ref="S93:AA93" si="34">C82</f>
        <v>18881.271479999999</v>
      </c>
      <c r="T93" s="35">
        <f t="shared" si="34"/>
        <v>22925.012955999999</v>
      </c>
      <c r="U93" s="35">
        <f t="shared" si="34"/>
        <v>25234.488948000002</v>
      </c>
      <c r="V93" s="35">
        <f t="shared" si="34"/>
        <v>28347.866275999997</v>
      </c>
      <c r="W93" s="35">
        <f t="shared" si="34"/>
        <v>31569.879787999998</v>
      </c>
      <c r="X93" s="35">
        <f t="shared" si="34"/>
        <v>35445.635171999995</v>
      </c>
      <c r="Y93" s="35">
        <f t="shared" si="34"/>
        <v>40021.828276</v>
      </c>
      <c r="Z93" s="35">
        <f t="shared" si="34"/>
        <v>46652.305500000002</v>
      </c>
      <c r="AA93" s="35">
        <f t="shared" si="34"/>
        <v>67911.479500000001</v>
      </c>
    </row>
    <row r="94" spans="1:27" x14ac:dyDescent="0.35">
      <c r="Q94" s="34" t="str">
        <f>Q90</f>
        <v>Besteedbaar inkomen gepensioneerden</v>
      </c>
      <c r="R94" s="34"/>
      <c r="S94" s="34"/>
      <c r="T94" s="35">
        <f t="shared" ref="T94:Z94" si="35">D90</f>
        <v>24555.355523999999</v>
      </c>
      <c r="U94" s="35">
        <f t="shared" si="35"/>
        <v>27611.706771999998</v>
      </c>
      <c r="V94" s="35">
        <f t="shared" si="35"/>
        <v>31697.263132</v>
      </c>
      <c r="W94" s="35">
        <f t="shared" si="35"/>
        <v>33848.289116</v>
      </c>
      <c r="X94" s="35">
        <f t="shared" si="35"/>
        <v>38386.856604000001</v>
      </c>
      <c r="Y94" s="35">
        <f t="shared" si="35"/>
        <v>43745.647131999998</v>
      </c>
      <c r="Z94" s="35">
        <f t="shared" si="35"/>
        <v>51439.65</v>
      </c>
      <c r="AA94" s="34"/>
    </row>
    <row r="95" spans="1:27" x14ac:dyDescent="0.35">
      <c r="A95" t="s">
        <v>180</v>
      </c>
    </row>
    <row r="96" spans="1:27" x14ac:dyDescent="0.35">
      <c r="A96" t="s">
        <v>38</v>
      </c>
      <c r="B96" s="4">
        <f t="shared" ref="B96:K96" si="36">B82-B56</f>
        <v>1500</v>
      </c>
      <c r="C96" s="4">
        <f t="shared" si="36"/>
        <v>9951.38148</v>
      </c>
      <c r="D96" s="4">
        <f t="shared" si="36"/>
        <v>9622.9234759999981</v>
      </c>
      <c r="E96" s="4">
        <f t="shared" si="36"/>
        <v>7999.5334680000014</v>
      </c>
      <c r="F96" s="4">
        <f t="shared" si="36"/>
        <v>6739.4211559999967</v>
      </c>
      <c r="G96" s="4">
        <f t="shared" si="36"/>
        <v>5915.6886679999989</v>
      </c>
      <c r="H96" s="4">
        <f t="shared" si="36"/>
        <v>5303.4452519999941</v>
      </c>
      <c r="I96" s="4">
        <f t="shared" si="36"/>
        <v>4883.7943559999985</v>
      </c>
      <c r="J96" s="4">
        <f t="shared" si="36"/>
        <v>3969.5275800000018</v>
      </c>
      <c r="K96" s="4">
        <f t="shared" si="36"/>
        <v>2118.8790000000008</v>
      </c>
    </row>
    <row r="97" spans="1:27" x14ac:dyDescent="0.35">
      <c r="A97" t="s">
        <v>39</v>
      </c>
      <c r="D97" s="4">
        <f t="shared" ref="D97:I97" si="37">D90-D65</f>
        <v>10155.355523999999</v>
      </c>
      <c r="E97" s="4">
        <f t="shared" si="37"/>
        <v>9513.8567719999992</v>
      </c>
      <c r="F97" s="4">
        <f t="shared" si="37"/>
        <v>8884.2481919999991</v>
      </c>
      <c r="G97" s="4">
        <f t="shared" si="37"/>
        <v>5681.1501759999992</v>
      </c>
      <c r="H97" s="4">
        <f t="shared" si="37"/>
        <v>6210.4136639999997</v>
      </c>
      <c r="I97" s="4">
        <f t="shared" si="37"/>
        <v>5718.9961919999987</v>
      </c>
      <c r="J97" s="4"/>
      <c r="K97" s="4"/>
    </row>
    <row r="99" spans="1:27" x14ac:dyDescent="0.35">
      <c r="A99" t="s">
        <v>40</v>
      </c>
    </row>
    <row r="100" spans="1:27" x14ac:dyDescent="0.35">
      <c r="A100" t="s">
        <v>38</v>
      </c>
      <c r="B100" s="4">
        <f t="shared" ref="B100:K100" si="38">B81-B55</f>
        <v>0</v>
      </c>
      <c r="C100" s="4">
        <f t="shared" si="38"/>
        <v>1048.61852</v>
      </c>
      <c r="D100" s="4">
        <f t="shared" si="38"/>
        <v>2922.4765240000015</v>
      </c>
      <c r="E100" s="4">
        <f t="shared" si="38"/>
        <v>4184.6665319999993</v>
      </c>
      <c r="F100" s="4">
        <f t="shared" si="38"/>
        <v>4940.7788439999986</v>
      </c>
      <c r="G100" s="4">
        <f t="shared" si="38"/>
        <v>5184.9113319999997</v>
      </c>
      <c r="H100" s="4">
        <f t="shared" si="38"/>
        <v>5099.9547480000037</v>
      </c>
      <c r="I100" s="4">
        <f t="shared" si="38"/>
        <v>4696.4056440000004</v>
      </c>
      <c r="J100" s="4">
        <f t="shared" si="38"/>
        <v>4367.4724199999982</v>
      </c>
      <c r="K100" s="4">
        <f t="shared" si="38"/>
        <v>2076.9210000000021</v>
      </c>
      <c r="Q100" t="s">
        <v>125</v>
      </c>
    </row>
    <row r="101" spans="1:27" x14ac:dyDescent="0.35">
      <c r="A101" t="s">
        <v>39</v>
      </c>
      <c r="D101" s="4">
        <f t="shared" ref="D101:I101" si="39">D89-D64</f>
        <v>2390.0444760000009</v>
      </c>
      <c r="E101" s="4">
        <f t="shared" si="39"/>
        <v>2670.3432280000011</v>
      </c>
      <c r="F101" s="4">
        <f t="shared" si="39"/>
        <v>2795.9518079999984</v>
      </c>
      <c r="G101" s="4">
        <f t="shared" si="39"/>
        <v>5419.4498239999994</v>
      </c>
      <c r="H101" s="4">
        <f t="shared" si="39"/>
        <v>4192.9863360000008</v>
      </c>
      <c r="I101" s="4">
        <f t="shared" si="39"/>
        <v>3861.2038080000002</v>
      </c>
      <c r="Q101" s="6" t="s">
        <v>19</v>
      </c>
      <c r="R101" s="6">
        <v>1</v>
      </c>
      <c r="S101" s="6">
        <v>2</v>
      </c>
      <c r="T101" s="6">
        <v>3</v>
      </c>
      <c r="U101" s="6">
        <v>4</v>
      </c>
      <c r="V101" s="6">
        <v>5</v>
      </c>
      <c r="W101" s="6">
        <v>6</v>
      </c>
      <c r="X101" s="6">
        <v>7</v>
      </c>
      <c r="Y101" s="6">
        <v>8</v>
      </c>
      <c r="Z101" s="6">
        <v>9</v>
      </c>
      <c r="AA101" s="6">
        <v>10</v>
      </c>
    </row>
    <row r="102" spans="1:27" x14ac:dyDescent="0.35">
      <c r="A102" s="8" t="s">
        <v>42</v>
      </c>
      <c r="Q102" s="31" t="s">
        <v>121</v>
      </c>
      <c r="R102" s="6"/>
      <c r="S102" s="6"/>
      <c r="T102" s="6"/>
      <c r="U102" s="6"/>
      <c r="V102" s="6"/>
      <c r="W102" s="6"/>
      <c r="X102" s="6"/>
      <c r="Y102" s="6"/>
      <c r="Z102" s="6"/>
      <c r="AA102" s="6"/>
    </row>
    <row r="103" spans="1:27" x14ac:dyDescent="0.35">
      <c r="A103" s="8" t="s">
        <v>43</v>
      </c>
      <c r="Q103" s="6" t="s">
        <v>119</v>
      </c>
      <c r="R103" s="32">
        <f t="shared" ref="R103:AA103" si="40">B50</f>
        <v>2400</v>
      </c>
      <c r="S103" s="32">
        <f t="shared" si="40"/>
        <v>9500</v>
      </c>
      <c r="T103" s="32">
        <f t="shared" si="40"/>
        <v>14400</v>
      </c>
      <c r="U103" s="32">
        <f t="shared" si="40"/>
        <v>18700</v>
      </c>
      <c r="V103" s="32">
        <f t="shared" si="40"/>
        <v>24700</v>
      </c>
      <c r="W103" s="32">
        <f t="shared" si="40"/>
        <v>31600</v>
      </c>
      <c r="X103" s="32">
        <f t="shared" si="40"/>
        <v>39900</v>
      </c>
      <c r="Y103" s="32">
        <f t="shared" si="40"/>
        <v>49700</v>
      </c>
      <c r="Z103" s="32">
        <f t="shared" si="40"/>
        <v>64500</v>
      </c>
      <c r="AA103" s="32">
        <f t="shared" si="40"/>
        <v>113800</v>
      </c>
    </row>
    <row r="104" spans="1:27" x14ac:dyDescent="0.35">
      <c r="A104" s="8" t="s">
        <v>45</v>
      </c>
      <c r="Q104" s="6" t="s">
        <v>82</v>
      </c>
      <c r="R104" s="32">
        <f t="shared" ref="R104:AA104" si="41">B56</f>
        <v>2400</v>
      </c>
      <c r="S104" s="32">
        <f t="shared" si="41"/>
        <v>8929.89</v>
      </c>
      <c r="T104" s="32">
        <f t="shared" si="41"/>
        <v>13302.089480000001</v>
      </c>
      <c r="U104" s="32">
        <f t="shared" si="41"/>
        <v>17234.955480000001</v>
      </c>
      <c r="V104" s="32">
        <f t="shared" si="41"/>
        <v>21608.44512</v>
      </c>
      <c r="W104" s="32">
        <f t="shared" si="41"/>
        <v>25654.19112</v>
      </c>
      <c r="X104" s="32">
        <f t="shared" si="41"/>
        <v>30142.189920000001</v>
      </c>
      <c r="Y104" s="32">
        <f t="shared" si="41"/>
        <v>35138.033920000002</v>
      </c>
      <c r="Z104" s="32">
        <f t="shared" si="41"/>
        <v>42682.77792</v>
      </c>
      <c r="AA104" s="32">
        <f t="shared" si="41"/>
        <v>65792.6005</v>
      </c>
    </row>
    <row r="105" spans="1:27" x14ac:dyDescent="0.35">
      <c r="A105" s="8" t="s">
        <v>44</v>
      </c>
      <c r="Q105" s="6" t="s">
        <v>80</v>
      </c>
      <c r="R105" s="6" t="s">
        <v>123</v>
      </c>
      <c r="S105" s="6" t="s">
        <v>123</v>
      </c>
      <c r="T105" s="32">
        <f>D65</f>
        <v>14400</v>
      </c>
      <c r="U105" s="32">
        <f t="shared" ref="U105:Z105" si="42">E65</f>
        <v>18097.849999999999</v>
      </c>
      <c r="V105" s="32">
        <f t="shared" si="42"/>
        <v>22813.014940000001</v>
      </c>
      <c r="W105" s="32">
        <f t="shared" si="42"/>
        <v>28167.138940000001</v>
      </c>
      <c r="X105" s="32">
        <f t="shared" si="42"/>
        <v>32176.442940000001</v>
      </c>
      <c r="Y105" s="32">
        <f t="shared" si="42"/>
        <v>38026.65094</v>
      </c>
      <c r="Z105" s="32">
        <f t="shared" si="42"/>
        <v>46861.658940000001</v>
      </c>
      <c r="AA105" s="32" t="s">
        <v>123</v>
      </c>
    </row>
    <row r="106" spans="1:27" x14ac:dyDescent="0.35">
      <c r="A106" s="8" t="s">
        <v>104</v>
      </c>
      <c r="Q106" s="28" t="s">
        <v>122</v>
      </c>
      <c r="R106" s="29"/>
      <c r="S106" s="29"/>
      <c r="T106" s="29"/>
      <c r="U106" s="29"/>
      <c r="V106" s="29"/>
      <c r="W106" s="29"/>
      <c r="X106" s="29"/>
      <c r="Y106" s="29"/>
      <c r="Z106" s="29"/>
      <c r="AA106" s="29" t="s">
        <v>123</v>
      </c>
    </row>
    <row r="107" spans="1:27" x14ac:dyDescent="0.35">
      <c r="A107" s="8"/>
      <c r="Q107" s="29" t="s">
        <v>119</v>
      </c>
      <c r="R107" s="30">
        <f t="shared" ref="R107:AA107" si="43">B116</f>
        <v>3900</v>
      </c>
      <c r="S107" s="30">
        <f t="shared" si="43"/>
        <v>20500</v>
      </c>
      <c r="T107" s="30">
        <f t="shared" si="43"/>
        <v>26945.4</v>
      </c>
      <c r="U107" s="30">
        <f t="shared" si="43"/>
        <v>30884.2</v>
      </c>
      <c r="V107" s="30">
        <f t="shared" si="43"/>
        <v>36380.199999999997</v>
      </c>
      <c r="W107" s="30">
        <f t="shared" si="43"/>
        <v>42700.6</v>
      </c>
      <c r="X107" s="30">
        <f t="shared" si="43"/>
        <v>50303.4</v>
      </c>
      <c r="Y107" s="30">
        <f t="shared" si="43"/>
        <v>59280.2</v>
      </c>
      <c r="Z107" s="30">
        <f t="shared" si="43"/>
        <v>72837</v>
      </c>
      <c r="AA107" s="30">
        <f t="shared" si="43"/>
        <v>117995.8</v>
      </c>
    </row>
    <row r="108" spans="1:27" x14ac:dyDescent="0.35">
      <c r="A108" s="1" t="s">
        <v>46</v>
      </c>
      <c r="Q108" s="29" t="s">
        <v>82</v>
      </c>
      <c r="R108" s="30">
        <f t="shared" ref="R108:AA108" si="44">B121</f>
        <v>3900</v>
      </c>
      <c r="S108" s="30">
        <f t="shared" si="44"/>
        <v>18051</v>
      </c>
      <c r="T108" s="30">
        <f t="shared" si="44"/>
        <v>22498.326000000001</v>
      </c>
      <c r="U108" s="30">
        <f t="shared" si="44"/>
        <v>25216.098000000002</v>
      </c>
      <c r="V108" s="30">
        <f t="shared" si="44"/>
        <v>28911.723999999998</v>
      </c>
      <c r="W108" s="30">
        <f t="shared" si="44"/>
        <v>32830.372000000003</v>
      </c>
      <c r="X108" s="30">
        <f t="shared" si="44"/>
        <v>37507.699999999997</v>
      </c>
      <c r="Y108" s="30">
        <f t="shared" si="44"/>
        <v>41996.1</v>
      </c>
      <c r="Z108" s="30">
        <f t="shared" si="44"/>
        <v>48774.5</v>
      </c>
      <c r="AA108" s="30">
        <f t="shared" si="44"/>
        <v>67054.320000000007</v>
      </c>
    </row>
    <row r="109" spans="1:27" x14ac:dyDescent="0.35">
      <c r="A109" s="9" t="s">
        <v>47</v>
      </c>
      <c r="Q109" s="29" t="s">
        <v>80</v>
      </c>
      <c r="R109" s="29" t="s">
        <v>123</v>
      </c>
      <c r="S109" s="29" t="s">
        <v>123</v>
      </c>
      <c r="T109" s="30">
        <f>D126</f>
        <v>22498.326000000001</v>
      </c>
      <c r="U109" s="30">
        <f t="shared" ref="U109:Z109" si="45">E126</f>
        <v>25216.098000000002</v>
      </c>
      <c r="V109" s="30">
        <f t="shared" si="45"/>
        <v>28911.723999999998</v>
      </c>
      <c r="W109" s="30">
        <f t="shared" si="45"/>
        <v>32830.372000000003</v>
      </c>
      <c r="X109" s="30">
        <f t="shared" si="45"/>
        <v>37507.699999999997</v>
      </c>
      <c r="Y109" s="30">
        <f t="shared" si="45"/>
        <v>41996.1</v>
      </c>
      <c r="Z109" s="30">
        <f t="shared" si="45"/>
        <v>48774.5</v>
      </c>
      <c r="AA109" s="30" t="s">
        <v>123</v>
      </c>
    </row>
    <row r="110" spans="1:27" x14ac:dyDescent="0.35">
      <c r="A110" t="s">
        <v>48</v>
      </c>
      <c r="C110">
        <v>12600</v>
      </c>
      <c r="E110">
        <v>35000</v>
      </c>
      <c r="G110">
        <v>50000</v>
      </c>
      <c r="I110">
        <v>75000</v>
      </c>
    </row>
    <row r="111" spans="1:27" x14ac:dyDescent="0.35">
      <c r="A111" t="s">
        <v>49</v>
      </c>
      <c r="B111" s="10">
        <v>0</v>
      </c>
      <c r="D111" s="11">
        <v>0.31</v>
      </c>
      <c r="F111" s="11">
        <v>0.38</v>
      </c>
      <c r="H111" s="11">
        <v>0.5</v>
      </c>
      <c r="J111" s="11">
        <v>0.6</v>
      </c>
    </row>
    <row r="112" spans="1:27" x14ac:dyDescent="0.35">
      <c r="A112" t="s">
        <v>66</v>
      </c>
      <c r="C112" s="4">
        <f>C110*B111</f>
        <v>0</v>
      </c>
      <c r="D112" s="4"/>
      <c r="E112" s="4">
        <f>(E110-C110)*D111+C112</f>
        <v>6944</v>
      </c>
      <c r="G112" s="4">
        <f>E112+(G110-E110)*F111</f>
        <v>12644</v>
      </c>
      <c r="I112" s="4">
        <f>G112+(I110-G110)*H111</f>
        <v>25144</v>
      </c>
    </row>
    <row r="113" spans="1:14" x14ac:dyDescent="0.35">
      <c r="C113" s="4"/>
      <c r="D113" s="4"/>
      <c r="E113" s="4"/>
      <c r="G113" s="4"/>
      <c r="I113" s="4"/>
    </row>
    <row r="114" spans="1:14" x14ac:dyDescent="0.35">
      <c r="A114" t="s">
        <v>22</v>
      </c>
    </row>
    <row r="115" spans="1:14" x14ac:dyDescent="0.35">
      <c r="A115" t="s">
        <v>19</v>
      </c>
      <c r="B115">
        <v>1</v>
      </c>
      <c r="C115">
        <v>2</v>
      </c>
      <c r="D115">
        <v>3</v>
      </c>
      <c r="E115">
        <v>4</v>
      </c>
      <c r="F115">
        <v>5</v>
      </c>
      <c r="G115">
        <v>6</v>
      </c>
      <c r="H115">
        <v>7</v>
      </c>
      <c r="I115">
        <v>8</v>
      </c>
      <c r="J115">
        <v>9</v>
      </c>
      <c r="K115">
        <v>10</v>
      </c>
    </row>
    <row r="116" spans="1:14" x14ac:dyDescent="0.35">
      <c r="A116" t="str">
        <f t="shared" ref="A116:K116" si="46">A76</f>
        <v>Midden deciel + Basisinkomen dyn</v>
      </c>
      <c r="B116" s="4">
        <f t="shared" si="46"/>
        <v>3900</v>
      </c>
      <c r="C116" s="4">
        <f t="shared" si="46"/>
        <v>20500</v>
      </c>
      <c r="D116" s="4">
        <f t="shared" si="46"/>
        <v>26945.4</v>
      </c>
      <c r="E116" s="4">
        <f t="shared" si="46"/>
        <v>30884.2</v>
      </c>
      <c r="F116" s="4">
        <f t="shared" si="46"/>
        <v>36380.199999999997</v>
      </c>
      <c r="G116" s="4">
        <f t="shared" si="46"/>
        <v>42700.6</v>
      </c>
      <c r="H116" s="4">
        <f>H76</f>
        <v>50303.4</v>
      </c>
      <c r="I116" s="4">
        <f t="shared" si="46"/>
        <v>59280.2</v>
      </c>
      <c r="J116" s="4">
        <f t="shared" si="46"/>
        <v>72837</v>
      </c>
      <c r="K116" s="4">
        <f t="shared" si="46"/>
        <v>117995.8</v>
      </c>
    </row>
    <row r="117" spans="1:14" x14ac:dyDescent="0.35">
      <c r="A117" t="s">
        <v>50</v>
      </c>
      <c r="B117" s="4">
        <f>IF(B116&lt;C110,B111*B116,IF(B116&lt;E110,(B116-C110)*D111+C110*B111,IF(B116&lt;G110,(B116-E110)*F111+(E110-C110)*D111+C110*B111,IF(B116&lt;I110,(B116-G110)*H111+(G110-E110)*F111+(E110-C110)*D111+C110*B111,(B116-I110)*J111+(I110-G110)*H111+(G110-E110)*F111+(E110-C110)*D111+C110*B111))))</f>
        <v>0</v>
      </c>
      <c r="C117" s="4">
        <f t="shared" ref="C117:K117" si="47">IF(C116&lt;$C$110,$B$111*C116,IF(C116&lt;$E$110,(C116-$C$110)*$D$111+$C$110*$B$111,IF(C116&lt;$G$110,(C116-$E$110)*$F$111+($E$110-$C$110)*$D$111+$C$110*$B$111,IF(C116&lt;$I$110,(C116-$G$110)*$H$111+($G$110-$E$110)*$F$111+($E$110-$C$110)*$D$111+$C$110*$B$111,(C116-$I$110)*$J$111+($I$110-$G$110)*$H$111+($G$110-$E$110)*$F$111+($E$110-$C$110)*$D$111+$C$110*$B$111))))</f>
        <v>2449</v>
      </c>
      <c r="D117" s="4">
        <f t="shared" si="47"/>
        <v>4447.0740000000005</v>
      </c>
      <c r="E117" s="4">
        <f t="shared" si="47"/>
        <v>5668.1019999999999</v>
      </c>
      <c r="F117" s="4">
        <f t="shared" si="47"/>
        <v>7468.4759999999987</v>
      </c>
      <c r="G117" s="4">
        <f t="shared" si="47"/>
        <v>9870.2279999999992</v>
      </c>
      <c r="H117" s="4">
        <f t="shared" si="47"/>
        <v>12795.7</v>
      </c>
      <c r="I117" s="4">
        <f t="shared" si="47"/>
        <v>17284.099999999999</v>
      </c>
      <c r="J117" s="4">
        <f t="shared" si="47"/>
        <v>24062.5</v>
      </c>
      <c r="K117" s="4">
        <f t="shared" si="47"/>
        <v>50941.479999999996</v>
      </c>
      <c r="M117" s="3">
        <f>($B$38/10)*SUM(B117:K117)</f>
        <v>139971109913.82999</v>
      </c>
      <c r="N117" s="3"/>
    </row>
    <row r="118" spans="1:14" x14ac:dyDescent="0.35">
      <c r="A118" t="s">
        <v>126</v>
      </c>
      <c r="B118" s="4"/>
      <c r="C118" s="4"/>
      <c r="D118" s="4">
        <f>C112+(D116-C110)*0.25</f>
        <v>3586.3500000000004</v>
      </c>
      <c r="E118" s="4"/>
      <c r="F118" s="4"/>
      <c r="G118" s="4"/>
      <c r="H118" s="4">
        <f>IF(H116&lt;I110,G112+(H116-G110)*H111)</f>
        <v>12795.7</v>
      </c>
      <c r="I118" s="4"/>
      <c r="J118" s="4"/>
      <c r="K118" s="4">
        <f>(I112+(K116-I110)*J111)</f>
        <v>50941.479999999996</v>
      </c>
      <c r="M118" s="3"/>
      <c r="N118" s="3"/>
    </row>
    <row r="119" spans="1:14" x14ac:dyDescent="0.35">
      <c r="A119" t="s">
        <v>51</v>
      </c>
      <c r="B119" s="4"/>
      <c r="C119" s="4"/>
      <c r="D119" s="4"/>
      <c r="E119" s="4"/>
      <c r="F119" s="4"/>
      <c r="G119" s="4"/>
      <c r="H119" s="4"/>
      <c r="I119" s="4"/>
      <c r="J119" s="4"/>
      <c r="K119" s="4"/>
    </row>
    <row r="120" spans="1:14" x14ac:dyDescent="0.35">
      <c r="A120" t="s">
        <v>53</v>
      </c>
      <c r="B120" s="4">
        <f>B117-B119</f>
        <v>0</v>
      </c>
      <c r="C120" s="4">
        <f t="shared" ref="C120:K120" si="48">C117-C119</f>
        <v>2449</v>
      </c>
      <c r="D120" s="4">
        <f t="shared" si="48"/>
        <v>4447.0740000000005</v>
      </c>
      <c r="E120" s="4">
        <f t="shared" si="48"/>
        <v>5668.1019999999999</v>
      </c>
      <c r="F120" s="4">
        <f t="shared" si="48"/>
        <v>7468.4759999999987</v>
      </c>
      <c r="G120" s="4">
        <f t="shared" si="48"/>
        <v>9870.2279999999992</v>
      </c>
      <c r="H120" s="4">
        <f t="shared" si="48"/>
        <v>12795.7</v>
      </c>
      <c r="I120" s="4">
        <f t="shared" si="48"/>
        <v>17284.099999999999</v>
      </c>
      <c r="J120" s="4">
        <f t="shared" si="48"/>
        <v>24062.5</v>
      </c>
      <c r="K120" s="4">
        <f t="shared" si="48"/>
        <v>50941.479999999996</v>
      </c>
    </row>
    <row r="121" spans="1:14" x14ac:dyDescent="0.35">
      <c r="A121" t="s">
        <v>52</v>
      </c>
      <c r="B121" s="4">
        <f>B116-B120</f>
        <v>3900</v>
      </c>
      <c r="C121" s="4">
        <f t="shared" ref="C121:K121" si="49">C116-C120</f>
        <v>18051</v>
      </c>
      <c r="D121" s="4">
        <f t="shared" si="49"/>
        <v>22498.326000000001</v>
      </c>
      <c r="E121" s="4">
        <f t="shared" si="49"/>
        <v>25216.098000000002</v>
      </c>
      <c r="F121" s="4">
        <f t="shared" si="49"/>
        <v>28911.723999999998</v>
      </c>
      <c r="G121" s="4">
        <f t="shared" si="49"/>
        <v>32830.372000000003</v>
      </c>
      <c r="H121" s="4">
        <f t="shared" si="49"/>
        <v>37507.699999999997</v>
      </c>
      <c r="I121" s="4">
        <f t="shared" si="49"/>
        <v>41996.1</v>
      </c>
      <c r="J121" s="4">
        <f t="shared" si="49"/>
        <v>48774.5</v>
      </c>
      <c r="K121" s="4">
        <f t="shared" si="49"/>
        <v>67054.320000000007</v>
      </c>
      <c r="L121" s="4"/>
    </row>
    <row r="122" spans="1:14" x14ac:dyDescent="0.35">
      <c r="C122" s="4"/>
      <c r="D122" s="4"/>
      <c r="E122" s="4"/>
      <c r="F122" s="4"/>
      <c r="G122" s="4"/>
      <c r="H122" s="4"/>
      <c r="I122" s="4"/>
      <c r="J122" s="4"/>
      <c r="K122" s="4"/>
    </row>
    <row r="123" spans="1:14" x14ac:dyDescent="0.35">
      <c r="A123" t="s">
        <v>61</v>
      </c>
    </row>
    <row r="124" spans="1:14" x14ac:dyDescent="0.35">
      <c r="A124" t="s">
        <v>60</v>
      </c>
      <c r="D124" s="4">
        <f t="shared" ref="D124:J124" si="50">D85</f>
        <v>26945.4</v>
      </c>
      <c r="E124" s="4">
        <f t="shared" si="50"/>
        <v>30884.2</v>
      </c>
      <c r="F124" s="4">
        <f t="shared" si="50"/>
        <v>36380.199999999997</v>
      </c>
      <c r="G124" s="4">
        <f t="shared" si="50"/>
        <v>42700.6</v>
      </c>
      <c r="H124" s="4">
        <f t="shared" si="50"/>
        <v>50303.4</v>
      </c>
      <c r="I124" s="4">
        <f t="shared" si="50"/>
        <v>59280.2</v>
      </c>
      <c r="J124" s="4">
        <f t="shared" si="50"/>
        <v>72837</v>
      </c>
    </row>
    <row r="125" spans="1:14" x14ac:dyDescent="0.35">
      <c r="A125" t="s">
        <v>50</v>
      </c>
      <c r="D125" s="4">
        <f>IF(D124&lt;$C$110,$B$111*D124,IF(D124&lt;$E$110,(D124-$C$110)*$D$111+$C$110*$B$111,IF(D124&lt;$G$110,(D124-$E$110)*$F$111+($E$110-$C$110)*$D$111+$C$110*$B$111,IF(D124&lt;$I$110,(D124-$G$110)*$H$111+($G$110-$E$110)*$F$111+($E$110-$C$110)*$D$111+$C$110*$B$111,(D124-$I$110)*$J$111+(D117-B117)*C119+($G$110-$E$110)*$F$111+($E$110-$C$110)*$D$111+$C$110*$B$111))))</f>
        <v>4447.0740000000005</v>
      </c>
      <c r="E125" s="4">
        <f>IF(E124&lt;$C$110,$B$111*E124,IF(E124&lt;$E$110,(E124-$C$110)*$D$111+$C$110*$B$111,IF(E124&lt;$G$110,(E124-$E$110)*$F$111+($E$110-$C$110)*$D$111+$C$110*$B$111,IF(E124&lt;$I$110,(E124-$G$110)*$H$111+($G$110-$E$110)*$F$111+($E$110-$C$110)*$D$111+$C$110*$B$111,(E124-$I$110)*$J$111+(E117-C117)*D119+($G$110-$E$110)*$F$111+($E$110-$C$110)*$D$111+$C$110*$B$111))))</f>
        <v>5668.1019999999999</v>
      </c>
      <c r="F125" s="4">
        <f>IF(F124&lt;$C$110,$B$111*F124,IF(F124&lt;$E$110,(F124-$C$110)*$D$111+$C$110*$B$111,IF(F124&lt;$G$110,(F124-$E$110)*$F$111+($E$110-$C$110)*$D$111+$C$110*$B$111,IF(F124&lt;$I$110,(F124-$G$110)*$H$111+($G$110-$E$110)*$F$111+($E$110-$C$110)*$D$111+$C$110*$B$111,(F124-$I$110)*$J$111+(F117-D117)*E119+($G$110-$E$110)*$F$111+($E$110-$C$110)*$D$111+$C$110*$B$111))))</f>
        <v>7468.4759999999987</v>
      </c>
      <c r="G125" s="4">
        <f>IF(G124&lt;$C$110,$B$111*G124,IF(G124&lt;$E$110,(G124-$C$110)*$D$111+$C$110*$B$111,IF(G124&lt;$G$110,(G124-$E$110)*$F$111+($E$110-$C$110)*$D$111+$C$110*$B$111,IF(G124&lt;$I$110,(G124-$G$110)*$H$111+($G$110-$E$110)*$F$111+($E$110-$C$110)*$D$111+$C$110*$B$111,(G124-$I$110)*$J$111+(G117-E117)*F119+($G$110-$E$110)*$F$111+($E$110-$C$110)*$D$111+$C$110*$B$111))))</f>
        <v>9870.2279999999992</v>
      </c>
      <c r="H125" s="4">
        <f>IF(H124&lt;$C$110,$B$111*H124,IF(H124&lt;$E$110,(H124-$C$110)*$D$111+$C$110*$B$111,IF(H124&lt;$G$110,(H124-$E$110)*$F$111+($E$110-$C$110)*$D$111+$C$110*$B$111,IF(H124&lt;$I$110,(H124-$G$110)*$H$111+($G$110-$E$110)*$F$111+($E$110-$C$110)*$D$111+$C$110*$B$111,(H124-$I$110)*$J$111+(H117-F117)*G119+($G$110-$E$110)*$F$111+($E$110-$C$110)*$D$111+$C$110*$B$111))))</f>
        <v>12795.7</v>
      </c>
      <c r="I125" s="4">
        <f>IF(I124&lt;$C$110,$B$111*I124,IF(I124&lt;$E$110,(I124-$C$110)*$D$111+$C$110*$B$111,IF(I124&lt;$G$110,(I124-$E$110)*$F$111+($E$110-$C$110)*$D$111+$C$110*$B$111,IF(I124&lt;$I$110,(I124-$G$110)*$H$111+($G$110-$E$110)*$F$111+($E$110-$C$110)*$D$111+$C$110*$B$111,(I124-$I$110)*$J$111+($I$110-$G$110)*$H$111+($G$110-$E$110)*$F$111+($E$110-$C$110)*$D$111+$C$110*$B$111))))</f>
        <v>17284.099999999999</v>
      </c>
      <c r="J125" s="4">
        <f>IF(J124&lt;$C$110,$B$111*J124,IF(J124&lt;$E$110,(J124-$C$110)*$D$111+$C$110*$B$111,IF(J124&lt;$G$110,(J124-$E$110)*$F$111+($E$110-$C$110)*$D$111+$C$110*$B$111,IF(J124&lt;$I$110,(J124-$G$110)*$H$111+($G$110-$E$110)*$F$111+($E$110-$C$110)*$D$111+$C$110*$B$111,(J124-$I$110)*$J$111+($I$110-$G$110)*$H$111+($G$110-$E$110)*$F$111+($E$110-$C$110)*$D$111+$C$110*$B$111))))</f>
        <v>24062.5</v>
      </c>
      <c r="M125" s="3">
        <f>($B$37/7)*SUM(D125:J125)</f>
        <v>36381055644.657135</v>
      </c>
      <c r="N125" s="3"/>
    </row>
    <row r="126" spans="1:14" x14ac:dyDescent="0.35">
      <c r="A126" t="s">
        <v>52</v>
      </c>
      <c r="D126" s="4">
        <f>D124-D125</f>
        <v>22498.326000000001</v>
      </c>
      <c r="E126" s="4">
        <f t="shared" ref="E126:J126" si="51">E124-E125</f>
        <v>25216.098000000002</v>
      </c>
      <c r="F126" s="4">
        <f t="shared" si="51"/>
        <v>28911.723999999998</v>
      </c>
      <c r="G126" s="4">
        <f t="shared" si="51"/>
        <v>32830.372000000003</v>
      </c>
      <c r="H126" s="4">
        <f t="shared" si="51"/>
        <v>37507.699999999997</v>
      </c>
      <c r="I126" s="4">
        <f t="shared" si="51"/>
        <v>41996.1</v>
      </c>
      <c r="J126" s="4">
        <f t="shared" si="51"/>
        <v>48774.5</v>
      </c>
    </row>
    <row r="127" spans="1:14" x14ac:dyDescent="0.35">
      <c r="A127" t="s">
        <v>62</v>
      </c>
      <c r="I127" s="4"/>
      <c r="M127" s="13">
        <f>M117+M125</f>
        <v>176352165558.48712</v>
      </c>
    </row>
    <row r="128" spans="1:14" s="14" customFormat="1" x14ac:dyDescent="0.35">
      <c r="A128" s="21" t="s">
        <v>71</v>
      </c>
      <c r="L128" s="12"/>
      <c r="M128" s="20">
        <f>M127-M67</f>
        <v>46958387555.894196</v>
      </c>
    </row>
    <row r="129" spans="1:16" s="14" customFormat="1" x14ac:dyDescent="0.35">
      <c r="A129" s="21"/>
      <c r="L129" s="12"/>
      <c r="M129" s="20"/>
    </row>
    <row r="130" spans="1:16" s="14" customFormat="1" x14ac:dyDescent="0.35">
      <c r="A130" s="21"/>
      <c r="L130" s="12"/>
      <c r="M130" s="20"/>
    </row>
    <row r="131" spans="1:16" s="14" customFormat="1" ht="15" thickBot="1" x14ac:dyDescent="0.4">
      <c r="A131" s="21"/>
      <c r="L131" s="12"/>
      <c r="M131" s="20"/>
    </row>
    <row r="132" spans="1:16" ht="15" thickBot="1" x14ac:dyDescent="0.4">
      <c r="A132" s="41" t="s">
        <v>140</v>
      </c>
      <c r="B132" s="41"/>
      <c r="C132" s="41"/>
      <c r="D132" s="41"/>
      <c r="E132" s="41"/>
      <c r="F132" s="41"/>
      <c r="G132" s="41"/>
      <c r="H132" s="41"/>
      <c r="I132" s="41"/>
      <c r="J132" s="41"/>
      <c r="K132" s="41"/>
      <c r="L132" s="41"/>
      <c r="N132" s="78"/>
      <c r="O132" s="79" t="s">
        <v>228</v>
      </c>
      <c r="P132" s="80" t="s">
        <v>229</v>
      </c>
    </row>
    <row r="133" spans="1:16" x14ac:dyDescent="0.35">
      <c r="A133" s="41" t="s">
        <v>137</v>
      </c>
      <c r="B133" s="41"/>
      <c r="C133" s="41"/>
      <c r="D133" s="41"/>
      <c r="E133" s="41"/>
      <c r="F133" s="41"/>
      <c r="G133" s="41"/>
      <c r="H133" s="41"/>
      <c r="I133" s="41"/>
      <c r="J133" s="41"/>
      <c r="K133" s="41"/>
      <c r="L133" s="40">
        <f>N45</f>
        <v>133123678851</v>
      </c>
      <c r="N133" s="75" t="s">
        <v>221</v>
      </c>
      <c r="O133" s="76" t="s">
        <v>226</v>
      </c>
      <c r="P133" s="77">
        <f>B112</f>
        <v>0</v>
      </c>
    </row>
    <row r="134" spans="1:16" x14ac:dyDescent="0.35">
      <c r="A134" s="41" t="s">
        <v>186</v>
      </c>
      <c r="B134" s="41"/>
      <c r="C134" s="41"/>
      <c r="D134" s="41"/>
      <c r="E134" s="41"/>
      <c r="F134" s="41"/>
      <c r="G134" s="41"/>
      <c r="H134" s="41"/>
      <c r="I134" s="41"/>
      <c r="J134" s="41"/>
      <c r="K134" s="41"/>
      <c r="L134" s="40">
        <f>M128</f>
        <v>46958387555.894196</v>
      </c>
      <c r="N134" s="69" t="s">
        <v>224</v>
      </c>
      <c r="O134" s="70" t="s">
        <v>276</v>
      </c>
      <c r="P134" s="71">
        <f>D111</f>
        <v>0.31</v>
      </c>
    </row>
    <row r="135" spans="1:16" x14ac:dyDescent="0.35">
      <c r="A135" s="41" t="s">
        <v>218</v>
      </c>
      <c r="B135" s="41"/>
      <c r="C135" s="41"/>
      <c r="D135" s="41"/>
      <c r="E135" s="41"/>
      <c r="F135" s="41"/>
      <c r="G135" s="41"/>
      <c r="H135" s="41"/>
      <c r="I135" s="41"/>
      <c r="J135" s="41"/>
      <c r="K135" s="41"/>
      <c r="L135" s="40">
        <f>M34</f>
        <v>19402000000</v>
      </c>
      <c r="N135" s="69" t="s">
        <v>225</v>
      </c>
      <c r="O135" s="70" t="s">
        <v>277</v>
      </c>
      <c r="P135" s="71">
        <f>F111</f>
        <v>0.38</v>
      </c>
    </row>
    <row r="136" spans="1:16" x14ac:dyDescent="0.35">
      <c r="A136" s="41" t="s">
        <v>260</v>
      </c>
      <c r="L136" s="40">
        <v>7000000000</v>
      </c>
      <c r="N136" s="69" t="s">
        <v>222</v>
      </c>
      <c r="O136" s="70" t="s">
        <v>278</v>
      </c>
      <c r="P136" s="71">
        <f>H111</f>
        <v>0.5</v>
      </c>
    </row>
    <row r="137" spans="1:16" ht="15" thickBot="1" x14ac:dyDescent="0.4">
      <c r="A137" s="41" t="s">
        <v>243</v>
      </c>
      <c r="B137" s="41"/>
      <c r="C137" s="41"/>
      <c r="D137" s="41"/>
      <c r="E137" s="41"/>
      <c r="F137" s="41"/>
      <c r="G137" s="41"/>
      <c r="H137" s="41"/>
      <c r="I137" s="41"/>
      <c r="J137" s="41"/>
      <c r="K137" s="41"/>
      <c r="L137" s="40">
        <f>L133-L134-L135-L136</f>
        <v>59763291295.105804</v>
      </c>
      <c r="N137" s="72" t="s">
        <v>223</v>
      </c>
      <c r="O137" s="73" t="s">
        <v>227</v>
      </c>
      <c r="P137" s="74">
        <f>J111</f>
        <v>0.6</v>
      </c>
    </row>
    <row r="139" spans="1:16" x14ac:dyDescent="0.35">
      <c r="A139" t="s">
        <v>109</v>
      </c>
      <c r="B139" s="23">
        <f t="shared" ref="B139:K139" si="52">B120/B116</f>
        <v>0</v>
      </c>
      <c r="C139" s="23">
        <f t="shared" si="52"/>
        <v>0.11946341463414634</v>
      </c>
      <c r="D139" s="23">
        <f t="shared" si="52"/>
        <v>0.16504019238905343</v>
      </c>
      <c r="E139" s="23">
        <f t="shared" si="52"/>
        <v>0.18352756425615685</v>
      </c>
      <c r="F139" s="23">
        <f t="shared" si="52"/>
        <v>0.2052895805960385</v>
      </c>
      <c r="G139" s="23">
        <f t="shared" si="52"/>
        <v>0.23114963255785631</v>
      </c>
      <c r="H139" s="23">
        <f t="shared" si="52"/>
        <v>0.25437047992779815</v>
      </c>
      <c r="I139" s="23">
        <f t="shared" si="52"/>
        <v>0.29156615530986735</v>
      </c>
      <c r="J139" s="23">
        <f t="shared" si="52"/>
        <v>0.33036094292735835</v>
      </c>
      <c r="K139" s="23">
        <f t="shared" si="52"/>
        <v>0.43172282403271978</v>
      </c>
    </row>
    <row r="140" spans="1:16" x14ac:dyDescent="0.35">
      <c r="B140" s="23"/>
      <c r="C140" s="23"/>
      <c r="D140" s="23"/>
      <c r="E140" s="23"/>
      <c r="F140" s="23"/>
      <c r="G140" s="23"/>
      <c r="H140" s="23"/>
      <c r="I140" s="23"/>
      <c r="J140" s="23"/>
      <c r="K140" s="23"/>
    </row>
    <row r="141" spans="1:16" x14ac:dyDescent="0.35">
      <c r="A141" s="1" t="s">
        <v>127</v>
      </c>
      <c r="L141" s="19" t="s">
        <v>97</v>
      </c>
      <c r="M141" s="1" t="s">
        <v>128</v>
      </c>
      <c r="N141" s="1" t="s">
        <v>129</v>
      </c>
      <c r="O141" s="1" t="s">
        <v>130</v>
      </c>
    </row>
    <row r="142" spans="1:16" x14ac:dyDescent="0.35">
      <c r="A142" t="s">
        <v>63</v>
      </c>
      <c r="B142" s="4">
        <f t="shared" ref="B142:K142" si="53">B121-B56</f>
        <v>1500</v>
      </c>
      <c r="C142" s="4">
        <f t="shared" si="53"/>
        <v>9121.11</v>
      </c>
      <c r="D142" s="4">
        <f t="shared" si="53"/>
        <v>9196.2365200000004</v>
      </c>
      <c r="E142" s="4">
        <f t="shared" si="53"/>
        <v>7981.1425200000012</v>
      </c>
      <c r="F142" s="4">
        <f t="shared" si="53"/>
        <v>7303.278879999998</v>
      </c>
      <c r="G142" s="4">
        <f t="shared" si="53"/>
        <v>7176.1808800000035</v>
      </c>
      <c r="H142" s="36">
        <f t="shared" si="53"/>
        <v>7365.5100799999964</v>
      </c>
      <c r="I142" s="4">
        <f t="shared" si="53"/>
        <v>6858.0660799999969</v>
      </c>
      <c r="J142" s="4">
        <f t="shared" si="53"/>
        <v>6091.7220799999996</v>
      </c>
      <c r="K142" s="4">
        <f t="shared" si="53"/>
        <v>1261.7195000000065</v>
      </c>
      <c r="L142" s="68">
        <f>SUM(B142:K142)*B38/10</f>
        <v>66212843106.972763</v>
      </c>
      <c r="M142" s="3">
        <f>($B$38/10)*SUM(B142:H142)</f>
        <v>51476568420.873428</v>
      </c>
      <c r="N142" s="3">
        <f>SUM(I142,K142)*B38/10+SUM(I143,J143)*B37/7</f>
        <v>14193497769.938749</v>
      </c>
      <c r="O142" s="3">
        <f>SUM(B142:F142)*B38/10</f>
        <v>36397918251.329956</v>
      </c>
      <c r="P142" s="4">
        <f>SUM(B142:J142)</f>
        <v>62593.247039999987</v>
      </c>
    </row>
    <row r="143" spans="1:16" x14ac:dyDescent="0.35">
      <c r="A143" t="s">
        <v>67</v>
      </c>
      <c r="D143" s="4">
        <f t="shared" ref="D143:J143" si="54">D126-D56</f>
        <v>9196.2365200000004</v>
      </c>
      <c r="E143" s="4">
        <f t="shared" si="54"/>
        <v>7981.1425200000012</v>
      </c>
      <c r="F143" s="4">
        <f t="shared" si="54"/>
        <v>7303.278879999998</v>
      </c>
      <c r="G143" s="4">
        <f t="shared" si="54"/>
        <v>7176.1808800000035</v>
      </c>
      <c r="H143" s="4">
        <f t="shared" si="54"/>
        <v>7365.5100799999964</v>
      </c>
      <c r="I143" s="4">
        <f t="shared" si="54"/>
        <v>6858.0660799999969</v>
      </c>
      <c r="J143" s="4">
        <f t="shared" si="54"/>
        <v>6091.7220799999996</v>
      </c>
      <c r="L143" s="68">
        <f>SUM(D143:J143)*B37/10</f>
        <v>16220867775.143276</v>
      </c>
      <c r="M143" s="3">
        <f>($B$37/7)*SUM(D143:H143)</f>
        <v>17398783202.700226</v>
      </c>
      <c r="N143" s="3">
        <f>SUM(I143,K143)*B39/10+SUM(I144,J144)*B38/7</f>
        <v>9251754029.0675964</v>
      </c>
      <c r="O143" s="3">
        <f>SUM(D143:F143)*B37/10</f>
        <v>7640584701.437439</v>
      </c>
    </row>
    <row r="144" spans="1:16" x14ac:dyDescent="0.35">
      <c r="A144" t="s">
        <v>97</v>
      </c>
      <c r="L144" s="68">
        <f>L142+L143</f>
        <v>82433710882.116043</v>
      </c>
      <c r="M144" s="3">
        <f>SUM(M142:M143)</f>
        <v>68875351623.573654</v>
      </c>
      <c r="N144" s="3">
        <f>SUM(B142:H142)*B38/10 + SUM(D143:I143)*B37/7</f>
        <v>71933137952.188736</v>
      </c>
      <c r="O144" s="3">
        <f>SUM(O142:O143)</f>
        <v>44038502952.767395</v>
      </c>
    </row>
    <row r="146" spans="1:13" x14ac:dyDescent="0.35">
      <c r="A146" s="1" t="s">
        <v>95</v>
      </c>
      <c r="M146" s="19" t="s">
        <v>97</v>
      </c>
    </row>
    <row r="147" spans="1:13" x14ac:dyDescent="0.35">
      <c r="A147" t="s">
        <v>96</v>
      </c>
      <c r="B147" s="3">
        <f t="shared" ref="B147:K147" si="55">($B$38/10)*B55+($B$37/7)*B64</f>
        <v>0</v>
      </c>
      <c r="C147" s="3">
        <f t="shared" si="55"/>
        <v>591161596.80500007</v>
      </c>
      <c r="D147" s="3">
        <f t="shared" si="55"/>
        <v>1138451414.9062598</v>
      </c>
      <c r="E147" s="3">
        <f t="shared" si="55"/>
        <v>1787620921.4946885</v>
      </c>
      <c r="F147" s="3">
        <f t="shared" si="55"/>
        <v>4047056727.037756</v>
      </c>
      <c r="G147" s="3">
        <f t="shared" si="55"/>
        <v>7695960798.4461832</v>
      </c>
      <c r="H147" s="3">
        <f t="shared" si="55"/>
        <v>13561802415.145353</v>
      </c>
      <c r="I147" s="3">
        <f t="shared" si="55"/>
        <v>20304436751.443352</v>
      </c>
      <c r="J147" s="3">
        <f t="shared" si="55"/>
        <v>30487190647.077065</v>
      </c>
      <c r="K147" s="3">
        <f t="shared" si="55"/>
        <v>49780096730.237251</v>
      </c>
      <c r="M147" s="3">
        <f>SUM(B147:K147)</f>
        <v>129393778002.5929</v>
      </c>
    </row>
    <row r="148" spans="1:13" x14ac:dyDescent="0.35">
      <c r="A148" t="s">
        <v>107</v>
      </c>
      <c r="B148" s="3">
        <f t="shared" ref="B148:K148" si="56">($B$38/10)*B81+($B$37/7)*B89</f>
        <v>0</v>
      </c>
      <c r="C148" s="3">
        <f t="shared" si="56"/>
        <v>1678500879.96526</v>
      </c>
      <c r="D148" s="3">
        <f t="shared" si="56"/>
        <v>5234484147.6088409</v>
      </c>
      <c r="E148" s="3">
        <f t="shared" si="56"/>
        <v>7317426663.0383339</v>
      </c>
      <c r="F148" s="3">
        <f t="shared" si="56"/>
        <v>10416899344.441099</v>
      </c>
      <c r="G148" s="3">
        <f t="shared" si="56"/>
        <v>15488682182.720474</v>
      </c>
      <c r="H148" s="3">
        <f t="shared" si="56"/>
        <v>20719590379.863991</v>
      </c>
      <c r="I148" s="3">
        <f t="shared" si="56"/>
        <v>26895843431.912956</v>
      </c>
      <c r="J148" s="3">
        <f t="shared" si="56"/>
        <v>36691952745.97403</v>
      </c>
      <c r="K148" s="3">
        <f t="shared" si="56"/>
        <v>51933709076.622749</v>
      </c>
      <c r="M148" s="3">
        <f t="shared" ref="M148:M153" si="57">SUM(B148:K148)</f>
        <v>176377088852.14774</v>
      </c>
    </row>
    <row r="149" spans="1:13" x14ac:dyDescent="0.35">
      <c r="A149" t="s">
        <v>230</v>
      </c>
      <c r="B149" s="3">
        <f t="shared" ref="B149:K149" si="58">($B$38/10)*B120+($B$37/7)*B125</f>
        <v>0</v>
      </c>
      <c r="C149" s="3">
        <f t="shared" si="58"/>
        <v>2539430549.5</v>
      </c>
      <c r="D149" s="3">
        <f t="shared" si="58"/>
        <v>6594088609.4412861</v>
      </c>
      <c r="E149" s="3">
        <f t="shared" si="58"/>
        <v>8404619944.5638571</v>
      </c>
      <c r="F149" s="3">
        <f t="shared" si="58"/>
        <v>11074201266.155142</v>
      </c>
      <c r="G149" s="3">
        <f t="shared" si="58"/>
        <v>14635501461.72257</v>
      </c>
      <c r="H149" s="3">
        <f t="shared" si="58"/>
        <v>18973369820.207146</v>
      </c>
      <c r="I149" s="3">
        <f t="shared" si="58"/>
        <v>25628736318.407143</v>
      </c>
      <c r="J149" s="3">
        <f t="shared" si="58"/>
        <v>35679697968.75</v>
      </c>
      <c r="K149" s="3">
        <f t="shared" si="58"/>
        <v>52822519619.739998</v>
      </c>
      <c r="M149" s="3">
        <f t="shared" si="57"/>
        <v>176352165558.48715</v>
      </c>
    </row>
    <row r="150" spans="1:13" x14ac:dyDescent="0.35">
      <c r="M150" s="3"/>
    </row>
    <row r="151" spans="1:13" x14ac:dyDescent="0.35">
      <c r="A151" t="s">
        <v>231</v>
      </c>
      <c r="B151" s="3">
        <f>B148-B147</f>
        <v>0</v>
      </c>
      <c r="C151" s="3">
        <f t="shared" ref="C151:J151" si="59">C148-C147</f>
        <v>1087339283.16026</v>
      </c>
      <c r="D151" s="3">
        <f t="shared" si="59"/>
        <v>4096032732.7025814</v>
      </c>
      <c r="E151" s="3">
        <f t="shared" si="59"/>
        <v>5529805741.5436459</v>
      </c>
      <c r="F151" s="3">
        <f t="shared" si="59"/>
        <v>6369842617.4033432</v>
      </c>
      <c r="G151" s="3">
        <f t="shared" si="59"/>
        <v>7792721384.274291</v>
      </c>
      <c r="H151" s="3">
        <f t="shared" si="59"/>
        <v>7157787964.7186375</v>
      </c>
      <c r="I151" s="3">
        <f t="shared" si="59"/>
        <v>6591406680.4696045</v>
      </c>
      <c r="J151" s="3">
        <f t="shared" si="59"/>
        <v>6204762098.896965</v>
      </c>
      <c r="K151" s="3">
        <f>K148-K147</f>
        <v>2153612346.385498</v>
      </c>
      <c r="M151" s="3">
        <f t="shared" si="57"/>
        <v>46983310849.554825</v>
      </c>
    </row>
    <row r="152" spans="1:13" x14ac:dyDescent="0.35">
      <c r="M152" s="3"/>
    </row>
    <row r="153" spans="1:13" x14ac:dyDescent="0.35">
      <c r="A153" t="s">
        <v>232</v>
      </c>
      <c r="B153" s="3">
        <f>B149-B147</f>
        <v>0</v>
      </c>
      <c r="C153" s="3">
        <f t="shared" ref="C153:J153" si="60">C149-C147</f>
        <v>1948268952.6949999</v>
      </c>
      <c r="D153" s="3">
        <f t="shared" si="60"/>
        <v>5455637194.5350266</v>
      </c>
      <c r="E153" s="3">
        <f t="shared" si="60"/>
        <v>6616999023.0691681</v>
      </c>
      <c r="F153" s="3">
        <f t="shared" si="60"/>
        <v>7027144539.1173859</v>
      </c>
      <c r="G153" s="3">
        <f t="shared" si="60"/>
        <v>6939540663.2763872</v>
      </c>
      <c r="H153" s="3">
        <f t="shared" si="60"/>
        <v>5411567405.0617924</v>
      </c>
      <c r="I153" s="3">
        <f t="shared" si="60"/>
        <v>5324299566.9637909</v>
      </c>
      <c r="J153" s="3">
        <f t="shared" si="60"/>
        <v>5192507321.6729355</v>
      </c>
      <c r="K153" s="3">
        <f>K149-K147</f>
        <v>3042422889.5027466</v>
      </c>
      <c r="M153" s="3">
        <f t="shared" si="57"/>
        <v>46958387555.894234</v>
      </c>
    </row>
    <row r="156" spans="1:13" x14ac:dyDescent="0.35">
      <c r="A156" s="1" t="s">
        <v>187</v>
      </c>
    </row>
    <row r="157" spans="1:13" x14ac:dyDescent="0.35">
      <c r="A157" t="s">
        <v>69</v>
      </c>
      <c r="B157" s="3">
        <f>L133</f>
        <v>133123678851</v>
      </c>
    </row>
    <row r="158" spans="1:13" x14ac:dyDescent="0.35">
      <c r="A158" t="s">
        <v>70</v>
      </c>
      <c r="B158" s="3">
        <f>L135</f>
        <v>19402000000</v>
      </c>
    </row>
    <row r="159" spans="1:13" x14ac:dyDescent="0.35">
      <c r="A159" t="s">
        <v>71</v>
      </c>
      <c r="B159" s="3">
        <f>L134</f>
        <v>46958387555.894196</v>
      </c>
    </row>
    <row r="160" spans="1:13" x14ac:dyDescent="0.35">
      <c r="A160" t="s">
        <v>72</v>
      </c>
      <c r="B160" s="3">
        <f>B157-B158-B159</f>
        <v>66763291295.105804</v>
      </c>
      <c r="C160" s="15" t="s">
        <v>6</v>
      </c>
      <c r="D160" s="16">
        <f>B160/1000000000</f>
        <v>66.763291295105802</v>
      </c>
      <c r="E160" t="s">
        <v>73</v>
      </c>
    </row>
    <row r="163" spans="1:18" x14ac:dyDescent="0.35">
      <c r="A163" s="1" t="s">
        <v>98</v>
      </c>
      <c r="N163" t="s">
        <v>102</v>
      </c>
      <c r="O163" t="s">
        <v>103</v>
      </c>
    </row>
    <row r="164" spans="1:18" x14ac:dyDescent="0.35">
      <c r="A164" t="s">
        <v>235</v>
      </c>
      <c r="B164" s="3">
        <f>($B$38/10)*B56+($B$37/7)*B65</f>
        <v>2488621200</v>
      </c>
      <c r="C164" s="3">
        <f t="shared" ref="C164:K164" si="61">($B$38/10)*C56+($B$37/7)*C65</f>
        <v>9259630653.1949997</v>
      </c>
      <c r="D164" s="3">
        <f t="shared" si="61"/>
        <v>20213762642.236595</v>
      </c>
      <c r="E164" s="3">
        <f t="shared" si="61"/>
        <v>25940601499.933884</v>
      </c>
      <c r="F164" s="3">
        <f t="shared" si="61"/>
        <v>32577921551.533676</v>
      </c>
      <c r="G164" s="3">
        <f t="shared" si="61"/>
        <v>39160286715.839531</v>
      </c>
      <c r="H164" s="3">
        <f t="shared" si="61"/>
        <v>45601624034.854645</v>
      </c>
      <c r="I164" s="3">
        <f t="shared" si="61"/>
        <v>53390357598.556648</v>
      </c>
      <c r="J164" s="3">
        <f t="shared" si="61"/>
        <v>65152934817.208649</v>
      </c>
      <c r="K164" s="3">
        <f t="shared" si="61"/>
        <v>68222025169.762749</v>
      </c>
      <c r="M164" t="str">
        <f>A164</f>
        <v>Netto inkomen vóór invoering BIDyn</v>
      </c>
      <c r="N164" s="11">
        <f>K164/SUM(B164:K164)</f>
        <v>0.18845459020287719</v>
      </c>
      <c r="O164" s="11">
        <f>SUM(B164:F164)/SUM(B164:K164)</f>
        <v>0.24994087440685428</v>
      </c>
    </row>
    <row r="165" spans="1:18" x14ac:dyDescent="0.35">
      <c r="A165" t="s">
        <v>236</v>
      </c>
      <c r="B165" s="3">
        <f>($B$38/10)*B121+($B$37/7)*B126</f>
        <v>4044009450</v>
      </c>
      <c r="C165" s="3">
        <f t="shared" ref="C165:K165" si="62">($B$38/10)*C121+($B$37/7)*C126</f>
        <v>18717542200.5</v>
      </c>
      <c r="D165" s="3">
        <f t="shared" si="62"/>
        <v>33360352269.401573</v>
      </c>
      <c r="E165" s="3">
        <f t="shared" si="62"/>
        <v>37390244595.964714</v>
      </c>
      <c r="F165" s="3">
        <f t="shared" si="62"/>
        <v>42870091639.516281</v>
      </c>
      <c r="G165" s="3">
        <f t="shared" si="62"/>
        <v>48680634063.863144</v>
      </c>
      <c r="H165" s="3">
        <f t="shared" si="62"/>
        <v>55616141610.492851</v>
      </c>
      <c r="I165" s="3">
        <f t="shared" si="62"/>
        <v>62271508108.692856</v>
      </c>
      <c r="J165" s="3">
        <f t="shared" si="62"/>
        <v>72322469759.035706</v>
      </c>
      <c r="K165" s="3">
        <f t="shared" si="62"/>
        <v>69530334293.160004</v>
      </c>
      <c r="M165" t="str">
        <f>A165</f>
        <v>Netto inkomen ná invoering BIDyn+geoptimaliseerde IB</v>
      </c>
      <c r="N165" s="11">
        <f>K165/SUM(B165:K165)</f>
        <v>0.15631702803856973</v>
      </c>
      <c r="O165" s="11">
        <f>SUM(B165:F165)/SUM(B165:K165)</f>
        <v>0.30661245447843499</v>
      </c>
    </row>
    <row r="167" spans="1:18" x14ac:dyDescent="0.35">
      <c r="M167" s="46" t="s">
        <v>122</v>
      </c>
      <c r="N167" s="47"/>
      <c r="O167" s="48"/>
      <c r="P167" s="46" t="s">
        <v>136</v>
      </c>
      <c r="Q167" s="47"/>
      <c r="R167" s="48"/>
    </row>
    <row r="168" spans="1:18" x14ac:dyDescent="0.35">
      <c r="A168" s="1" t="s">
        <v>110</v>
      </c>
      <c r="M168" s="49" t="s">
        <v>48</v>
      </c>
      <c r="N168" s="50" t="s">
        <v>131</v>
      </c>
      <c r="O168" s="51" t="s">
        <v>133</v>
      </c>
      <c r="P168" s="49" t="s">
        <v>135</v>
      </c>
      <c r="Q168" s="50" t="s">
        <v>131</v>
      </c>
      <c r="R168" s="51" t="s">
        <v>133</v>
      </c>
    </row>
    <row r="169" spans="1:18" x14ac:dyDescent="0.35">
      <c r="A169" t="s">
        <v>117</v>
      </c>
      <c r="B169">
        <v>12600</v>
      </c>
      <c r="C169">
        <f>E110</f>
        <v>35000</v>
      </c>
      <c r="D169">
        <f>G110</f>
        <v>50000</v>
      </c>
      <c r="E169">
        <f>I110</f>
        <v>75000</v>
      </c>
      <c r="M169" s="52">
        <f>B169</f>
        <v>12600</v>
      </c>
      <c r="N169" s="53">
        <f>B171</f>
        <v>0</v>
      </c>
      <c r="O169" s="54">
        <f>B169-B170</f>
        <v>12600</v>
      </c>
      <c r="P169" s="52">
        <v>12600</v>
      </c>
      <c r="Q169" s="53">
        <f>B179</f>
        <v>0</v>
      </c>
      <c r="R169" s="54">
        <f>B178</f>
        <v>11655.77348</v>
      </c>
    </row>
    <row r="170" spans="1:18" x14ac:dyDescent="0.35">
      <c r="A170" t="s">
        <v>233</v>
      </c>
      <c r="B170" s="4">
        <f>IF(B169&lt;$C$110,$B$111*B169,IF(B169&lt;$E$110,(B169-$C$110)*$D$111+$C$110*$B$111,IF(B169&lt;$G$110,(B169-$E$110)*$F$111+($E$110-$C$110)*$D$111+$C$110*$B$111,IF(B169&lt;$I$110,(B169-$G$110)*$H$111+($G$110-$E$110)*$F$111+($E$110-$C$110)*$D$111+$C$110*$B$111,(B169-$I$110)*$J$111+($I$110-$G$110)*$H$111+($G$110-$E$110)*$F$111+($E$110-$C$110)*$D$111+$C$110*$B$111))))</f>
        <v>0</v>
      </c>
      <c r="C170" s="4">
        <f>IF(C169&lt;$C$110,$B$111*C169,IF(C169&lt;$E$110,(C169-$C$110)*$D$111+$C$110*$B$111,IF(C169&lt;$G$110,(C169-$E$110)*$F$111+($E$110-$C$110)*$D$111+$C$110*$B$111,IF(C169&lt;$I$110,(C169-$G$110)*$H$111+($G$110-$E$110)*$F$111+($E$110-$C$110)*$D$111+$C$110*$B$111,(C169-$I$110)*$J$111+($I$110-$G$110)*$H$111+($G$110-$E$110)*$F$111+($E$110-$C$110)*$D$111+$C$110*$B$111))))</f>
        <v>6944</v>
      </c>
      <c r="D170" s="4">
        <f>IF(D169&lt;$C$110,$B$111*D169,IF(D169&lt;$E$110,(D169-$C$110)*$D$111+$C$110*$B$111,IF(D169&lt;$G$110,(D169-$E$110)*$F$111+($E$110-$C$110)*$D$111+$C$110*$B$111,IF(D169&lt;$I$110,(D169-$G$110)*$H$111+($G$110-$E$110)*$F$111+($E$110-$C$110)*$D$111+$C$110*$B$111,(D169-$I$110)*$J$111+($I$110-$G$110)*$H$111+($G$110-$E$110)*$F$111+($E$110-$C$110)*$D$111+$C$110*$B$111))))</f>
        <v>12644</v>
      </c>
      <c r="E170" s="4">
        <f>IF(E169&lt;$C$110,$B$111*E169,IF(E169&lt;$E$110,(E169-$C$110)*$D$111+$C$110*$B$111,IF(E169&lt;$G$110,(E169-$E$110)*$F$111+($E$110-$C$110)*$D$111+$C$110*$B$111,IF(E169&lt;$I$110,(E169-$G$110)*$H$111+($G$110-$E$110)*$F$111+($E$110-$C$110)*$D$111+$C$110*$B$111,(E169-$I$110)*$J$111+($I$110-$G$110)*$H$111+($G$110-$E$110)*$F$111+($E$110-$C$110)*$D$111+$C$110*$B$111))))</f>
        <v>25144</v>
      </c>
      <c r="M170" s="52">
        <f>C169</f>
        <v>35000</v>
      </c>
      <c r="N170" s="53">
        <f>C171</f>
        <v>0.19839999999999999</v>
      </c>
      <c r="O170" s="54">
        <f>C169-C170</f>
        <v>28056</v>
      </c>
      <c r="P170" s="52">
        <f>C173</f>
        <v>25340</v>
      </c>
      <c r="Q170" s="53">
        <f>C179</f>
        <v>0.13245056353591159</v>
      </c>
      <c r="R170" s="54">
        <f>C178</f>
        <v>21983.702720000001</v>
      </c>
    </row>
    <row r="171" spans="1:18" s="17" customFormat="1" x14ac:dyDescent="0.35">
      <c r="A171" s="17" t="s">
        <v>234</v>
      </c>
      <c r="B171" s="24">
        <f>B170/B169</f>
        <v>0</v>
      </c>
      <c r="C171" s="24">
        <f>C170/C169</f>
        <v>0.19839999999999999</v>
      </c>
      <c r="D171" s="24">
        <f>D170/D169</f>
        <v>0.25287999999999999</v>
      </c>
      <c r="E171" s="24">
        <f>E170/E169</f>
        <v>0.33525333333333335</v>
      </c>
      <c r="M171" s="52">
        <f>D169</f>
        <v>50000</v>
      </c>
      <c r="N171" s="53">
        <f>D171</f>
        <v>0.25287999999999999</v>
      </c>
      <c r="O171" s="54">
        <f>D169-D170</f>
        <v>37356</v>
      </c>
      <c r="P171" s="52">
        <f>D173</f>
        <v>41600</v>
      </c>
      <c r="Q171" s="53">
        <f>D179</f>
        <v>0.25459577115384618</v>
      </c>
      <c r="R171" s="54">
        <f>D178</f>
        <v>31008.815920000001</v>
      </c>
    </row>
    <row r="172" spans="1:18" x14ac:dyDescent="0.35">
      <c r="F172" s="9" t="s">
        <v>132</v>
      </c>
      <c r="M172" s="55">
        <f>E169</f>
        <v>75000</v>
      </c>
      <c r="N172" s="56">
        <f>E171</f>
        <v>0.33525333333333335</v>
      </c>
      <c r="O172" s="57">
        <f>E169-E170</f>
        <v>49856</v>
      </c>
      <c r="P172" s="55">
        <f>E173</f>
        <v>68700</v>
      </c>
      <c r="Q172" s="56">
        <f>E179</f>
        <v>0.34772430131004362</v>
      </c>
      <c r="R172" s="57">
        <f>E178</f>
        <v>44811.340500000006</v>
      </c>
    </row>
    <row r="173" spans="1:18" x14ac:dyDescent="0.35">
      <c r="A173" t="s">
        <v>116</v>
      </c>
      <c r="B173">
        <v>12600</v>
      </c>
      <c r="C173">
        <f>C169-(12600-0.084*C169)</f>
        <v>25340</v>
      </c>
      <c r="D173">
        <f t="shared" ref="D173:E173" si="63">D169-(12600-0.084*D169)</f>
        <v>41600</v>
      </c>
      <c r="E173">
        <f t="shared" si="63"/>
        <v>68700</v>
      </c>
    </row>
    <row r="174" spans="1:18" x14ac:dyDescent="0.35">
      <c r="A174" t="s">
        <v>50</v>
      </c>
      <c r="B174" s="4">
        <f>IF(B173&lt;68507,37.35%*B173,(37.35%*68507+(B173-68507)*49.5%))</f>
        <v>4706.1000000000004</v>
      </c>
      <c r="C174" s="4">
        <f>IF(C173&lt;68507,37.35%*C173,(37.35%*68507+(C173-68507)*49.5%))</f>
        <v>9464.49</v>
      </c>
      <c r="D174" s="4">
        <f>IF(D173&lt;68507,37.35%*D173,(37.35%*68507+(D173-68507)*49.5%))</f>
        <v>15537.6</v>
      </c>
      <c r="E174" s="4">
        <f>IF(E173&lt;68507,37.35%*E173,(37.35%*68507+(E173-68507)*49.5%))</f>
        <v>25682.8995</v>
      </c>
      <c r="F174" s="4">
        <f>IF(F173&lt;68507,37.35%*F173,(37.35%*68507+(F173-68507)*49.5%))</f>
        <v>0</v>
      </c>
    </row>
    <row r="175" spans="1:18" x14ac:dyDescent="0.35">
      <c r="A175" t="s">
        <v>113</v>
      </c>
      <c r="B175" s="4">
        <f>IF(B173&lt;20711,2711,IF(B173&lt;68507,(2711-0.05672*(B173-20711)),0))</f>
        <v>2711</v>
      </c>
      <c r="C175" s="4">
        <f>IF(C173&lt;20711,2711,IF(C173&lt;68507,(2711-0.05672*(C173-20711)),0))</f>
        <v>2448.4431199999999</v>
      </c>
      <c r="D175" s="4">
        <f>IF(D173&lt;20711,2711,IF(D173&lt;68507,(2711-0.05672*(D173-20711)),0))</f>
        <v>1526.1759199999999</v>
      </c>
      <c r="E175" s="4">
        <f>IF(E173&lt;20711,2711,IF(E173&lt;68507,(2711-0.05672*(E173-20711)),0))</f>
        <v>0</v>
      </c>
      <c r="F175" s="4">
        <f>IF(F173&lt;20711,2711,IF(F173&lt;68507,(2711-0.05672*(F173-20711)),0))</f>
        <v>2711</v>
      </c>
    </row>
    <row r="176" spans="1:18" x14ac:dyDescent="0.35">
      <c r="A176" t="s">
        <v>23</v>
      </c>
      <c r="B176" s="4">
        <f>IF(B173&lt;9921,0.02812*B173,IF(B173&lt;21430,279+0.28812*(B173-9921),IF(B173&lt;34954,3595+0.01656*(B173-21430),IF(B173&lt;98604,3819-0.06*(B173-34954),0))))</f>
        <v>1050.87348</v>
      </c>
      <c r="C176" s="4">
        <f>IF(C173&lt;9921,0.02812*C173,IF(C173&lt;21430,279+0.28812*(C173-9921),IF(C173&lt;34954,3595+0.01656*(C173-21430),IF(C173&lt;98604,3819-0.06*(C173-34954),0))))</f>
        <v>3659.7496000000001</v>
      </c>
      <c r="D176" s="4">
        <f>IF(D173&lt;9921,0.02812*D173,IF(D173&lt;21430,279+0.28812*(D173-9921),IF(D173&lt;34954,3595+0.01656*(D173-21430),IF(D173&lt;98604,3819-0.06*(D173-34954),0))))</f>
        <v>3420.24</v>
      </c>
      <c r="E176" s="4">
        <f>IF(E173&lt;9921,0.02812*E173,IF(E173&lt;21430,279+0.28812*(E173-9921),IF(E173&lt;34954,3595+0.01656*(E173-21430),IF(E173&lt;98604,3819-0.06*(E173-34954),0))))</f>
        <v>1794.24</v>
      </c>
      <c r="F176" s="4">
        <f>IF(F173&lt;9921,0.02812*F173,IF(F173&lt;21430,279+0.28812*(F173-9921),IF(F173&lt;34954,3595+0.01656*(F173-21430),IF(F173&lt;98604,3819-0.06*(F173-34954),0))))</f>
        <v>0</v>
      </c>
    </row>
    <row r="177" spans="1:6" x14ac:dyDescent="0.35">
      <c r="A177" t="s">
        <v>114</v>
      </c>
      <c r="B177" s="4">
        <f>IF(B174-B175-B176&lt;0,0,B174-B175-B176)</f>
        <v>944.22652000000039</v>
      </c>
      <c r="C177" s="4">
        <f>IF(C174-C175-C176&lt;0,0,C174-C175-C176)</f>
        <v>3356.2972799999998</v>
      </c>
      <c r="D177" s="4">
        <f>IF(D174-D175-D176&lt;0,0,D174-D175-D176)</f>
        <v>10591.184080000001</v>
      </c>
      <c r="E177" s="4">
        <f>IF(E174-E175-E176&lt;0,0,E174-E175-E176)</f>
        <v>23888.659499999998</v>
      </c>
      <c r="F177" s="4">
        <f>IF(F174-F175-F176&lt;0,0,F174-F175-F176)</f>
        <v>0</v>
      </c>
    </row>
    <row r="178" spans="1:6" x14ac:dyDescent="0.35">
      <c r="A178" t="s">
        <v>134</v>
      </c>
      <c r="B178" s="4">
        <f>B173-B177</f>
        <v>11655.77348</v>
      </c>
      <c r="C178" s="4">
        <f>C173-C177</f>
        <v>21983.702720000001</v>
      </c>
      <c r="D178" s="4">
        <f>D173-D177</f>
        <v>31008.815920000001</v>
      </c>
      <c r="E178" s="4">
        <f>E173-E177</f>
        <v>44811.340500000006</v>
      </c>
      <c r="F178" s="4">
        <f>F173-F177</f>
        <v>0</v>
      </c>
    </row>
    <row r="179" spans="1:6" x14ac:dyDescent="0.35">
      <c r="A179" s="17" t="s">
        <v>115</v>
      </c>
      <c r="B179" s="17">
        <v>0</v>
      </c>
      <c r="C179" s="25">
        <f>C177/C173</f>
        <v>0.13245056353591159</v>
      </c>
      <c r="D179" s="25">
        <f>D177/D173</f>
        <v>0.25459577115384618</v>
      </c>
      <c r="E179" s="25">
        <f>E177/E173</f>
        <v>0.34772430131004362</v>
      </c>
      <c r="F179" s="25" t="e">
        <f>F177/F173</f>
        <v>#DIV/0!</v>
      </c>
    </row>
  </sheetData>
  <phoneticPr fontId="28" type="noConversion"/>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2124-03EC-4F79-B6D0-BA1117BC4214}">
  <dimension ref="A1:AA177"/>
  <sheetViews>
    <sheetView topLeftCell="B109" workbookViewId="0">
      <selection activeCell="O137" sqref="O137"/>
    </sheetView>
  </sheetViews>
  <sheetFormatPr defaultRowHeight="14.5" x14ac:dyDescent="0.35"/>
  <cols>
    <col min="1" max="1" width="38.453125" customWidth="1"/>
    <col min="2" max="2" width="16.7265625" bestFit="1" customWidth="1"/>
    <col min="3" max="3" width="9.453125" bestFit="1" customWidth="1"/>
    <col min="4" max="4" width="10.81640625" customWidth="1"/>
    <col min="7" max="7" width="9.453125" customWidth="1"/>
    <col min="12" max="12" width="14.26953125" bestFit="1" customWidth="1"/>
    <col min="13" max="13" width="24" customWidth="1"/>
    <col min="14" max="15" width="13" bestFit="1" customWidth="1"/>
    <col min="17" max="17" width="35.7265625" customWidth="1"/>
    <col min="20" max="20" width="9.26953125" bestFit="1" customWidth="1"/>
    <col min="21" max="21" width="10.1796875" bestFit="1" customWidth="1"/>
    <col min="22" max="22" width="12.26953125" bestFit="1" customWidth="1"/>
    <col min="23" max="23" width="13.453125" bestFit="1" customWidth="1"/>
  </cols>
  <sheetData>
    <row r="1" spans="1:23" ht="21" x14ac:dyDescent="0.5">
      <c r="A1" s="2" t="s">
        <v>174</v>
      </c>
      <c r="B1" s="5"/>
      <c r="C1" t="s">
        <v>147</v>
      </c>
      <c r="D1" s="19" t="s">
        <v>177</v>
      </c>
    </row>
    <row r="2" spans="1:23" ht="21" x14ac:dyDescent="0.5">
      <c r="A2" s="2"/>
      <c r="B2" s="37" t="s">
        <v>175</v>
      </c>
      <c r="C2">
        <f>BIDyn!C2</f>
        <v>0</v>
      </c>
      <c r="D2">
        <v>6600</v>
      </c>
    </row>
    <row r="3" spans="1:23" ht="21" x14ac:dyDescent="0.5">
      <c r="A3" s="2"/>
      <c r="B3" s="37" t="s">
        <v>176</v>
      </c>
      <c r="C3" s="4">
        <v>150000</v>
      </c>
      <c r="D3">
        <v>0</v>
      </c>
    </row>
    <row r="4" spans="1:23" ht="21" x14ac:dyDescent="0.5">
      <c r="A4" s="2"/>
      <c r="B4" s="37" t="s">
        <v>214</v>
      </c>
      <c r="D4" s="66">
        <f>(D2-D3)/(C2-C3)</f>
        <v>-4.3999999999999997E-2</v>
      </c>
    </row>
    <row r="5" spans="1:23" ht="21" x14ac:dyDescent="0.5">
      <c r="A5" s="2"/>
      <c r="B5" s="37" t="s">
        <v>237</v>
      </c>
      <c r="D5" s="4">
        <f>D2*C3/(C3-C2)</f>
        <v>6600</v>
      </c>
      <c r="E5" s="3"/>
    </row>
    <row r="6" spans="1:23" ht="21" x14ac:dyDescent="0.5">
      <c r="A6" s="2"/>
      <c r="B6" s="37"/>
      <c r="D6" t="s">
        <v>205</v>
      </c>
      <c r="F6" s="3">
        <f>L134</f>
        <v>708101603.49409485</v>
      </c>
    </row>
    <row r="7" spans="1:23" x14ac:dyDescent="0.35">
      <c r="A7" t="s">
        <v>200</v>
      </c>
      <c r="B7" s="37"/>
    </row>
    <row r="8" spans="1:23" x14ac:dyDescent="0.35">
      <c r="A8" s="61"/>
      <c r="B8" s="61" t="s">
        <v>2</v>
      </c>
      <c r="C8" s="61" t="s">
        <v>3</v>
      </c>
      <c r="D8" s="61" t="s">
        <v>4</v>
      </c>
      <c r="E8" s="61" t="s">
        <v>57</v>
      </c>
    </row>
    <row r="9" spans="1:23" x14ac:dyDescent="0.35">
      <c r="A9" s="61" t="s">
        <v>1</v>
      </c>
      <c r="B9" s="62">
        <v>13490325</v>
      </c>
      <c r="C9" s="61">
        <f>12*1050</f>
        <v>12600</v>
      </c>
      <c r="D9" s="61">
        <f>0.05*C9</f>
        <v>630</v>
      </c>
      <c r="E9" s="62">
        <f>B9*(C9+D9)</f>
        <v>178476999750</v>
      </c>
    </row>
    <row r="10" spans="1:23" x14ac:dyDescent="0.35">
      <c r="A10" s="61" t="s">
        <v>54</v>
      </c>
      <c r="B10" s="62">
        <v>3791838</v>
      </c>
      <c r="C10" s="61">
        <v>1500</v>
      </c>
      <c r="D10" s="61">
        <f>0.05*1200</f>
        <v>60</v>
      </c>
      <c r="E10" s="62">
        <f>B10*(C10+D10)</f>
        <v>5915267280</v>
      </c>
      <c r="G10" s="3">
        <f>E9+E10</f>
        <v>184392267030</v>
      </c>
      <c r="T10" s="18"/>
      <c r="U10" s="18"/>
      <c r="V10" s="18"/>
      <c r="W10" s="18"/>
    </row>
    <row r="11" spans="1:23" x14ac:dyDescent="0.35">
      <c r="A11" s="61" t="s">
        <v>7</v>
      </c>
      <c r="B11" s="62"/>
      <c r="C11" s="61"/>
      <c r="D11" s="61"/>
      <c r="E11" s="62">
        <f>0.15*E25</f>
        <v>4410300000</v>
      </c>
      <c r="T11" s="18"/>
      <c r="U11" s="18"/>
      <c r="V11" s="18"/>
      <c r="W11" s="18"/>
    </row>
    <row r="12" spans="1:23" x14ac:dyDescent="0.35">
      <c r="A12" s="61" t="s">
        <v>56</v>
      </c>
      <c r="B12" s="61"/>
      <c r="C12" s="61"/>
      <c r="D12" s="61"/>
      <c r="E12" s="62">
        <f>SUM(E9:E11)</f>
        <v>188802567030</v>
      </c>
      <c r="F12" t="s">
        <v>6</v>
      </c>
      <c r="M12" s="13">
        <f>E12</f>
        <v>188802567030</v>
      </c>
      <c r="T12" s="18"/>
      <c r="U12" s="18"/>
      <c r="V12" s="18"/>
      <c r="W12" s="18"/>
    </row>
    <row r="13" spans="1:23" x14ac:dyDescent="0.35">
      <c r="A13" s="61" t="s">
        <v>5</v>
      </c>
      <c r="B13" s="62">
        <f>SUM(B9:B10)</f>
        <v>17282163</v>
      </c>
      <c r="C13" s="61"/>
      <c r="D13" s="61"/>
      <c r="E13" s="61"/>
      <c r="T13" s="18"/>
      <c r="U13" s="18"/>
      <c r="V13" s="18"/>
      <c r="W13" s="18"/>
    </row>
    <row r="14" spans="1:23" x14ac:dyDescent="0.35">
      <c r="B14" s="3"/>
      <c r="T14" s="18"/>
      <c r="U14" s="18"/>
      <c r="V14" s="18"/>
      <c r="W14" s="18"/>
    </row>
    <row r="15" spans="1:23" x14ac:dyDescent="0.35">
      <c r="A15" t="s">
        <v>185</v>
      </c>
      <c r="T15" s="18"/>
      <c r="U15" s="18"/>
      <c r="V15" s="18"/>
      <c r="W15" s="18"/>
    </row>
    <row r="16" spans="1:23" x14ac:dyDescent="0.35">
      <c r="A16" s="1" t="s">
        <v>77</v>
      </c>
      <c r="B16" t="s">
        <v>2</v>
      </c>
      <c r="C16" t="s">
        <v>13</v>
      </c>
      <c r="D16" t="s">
        <v>14</v>
      </c>
      <c r="E16" t="s">
        <v>5</v>
      </c>
      <c r="T16" s="18"/>
      <c r="U16" s="18"/>
      <c r="V16" s="18"/>
      <c r="W16" s="18"/>
    </row>
    <row r="17" spans="1:23" x14ac:dyDescent="0.35">
      <c r="A17" t="s">
        <v>8</v>
      </c>
      <c r="B17" s="3">
        <v>1400000</v>
      </c>
      <c r="C17" s="3">
        <v>85000000</v>
      </c>
      <c r="D17" s="3">
        <v>3600000000</v>
      </c>
      <c r="E17" s="3">
        <f>C17+D17</f>
        <v>3685000000</v>
      </c>
      <c r="F17" s="3"/>
      <c r="T17" s="18"/>
      <c r="U17" s="18"/>
      <c r="V17" s="18"/>
      <c r="W17" s="18"/>
    </row>
    <row r="18" spans="1:23" x14ac:dyDescent="0.35">
      <c r="A18" t="s">
        <v>9</v>
      </c>
      <c r="B18" s="3">
        <v>4500000</v>
      </c>
      <c r="C18" s="3">
        <v>68000000</v>
      </c>
      <c r="D18" s="3">
        <v>4700000000</v>
      </c>
      <c r="E18" s="3">
        <f>C18+D18</f>
        <v>4768000000</v>
      </c>
      <c r="F18" s="3"/>
      <c r="T18" s="18"/>
      <c r="U18" s="18"/>
      <c r="V18" s="18"/>
      <c r="W18" s="18"/>
    </row>
    <row r="19" spans="1:23" x14ac:dyDescent="0.35">
      <c r="A19" t="s">
        <v>10</v>
      </c>
      <c r="B19" s="3">
        <v>1870000</v>
      </c>
      <c r="D19" s="3">
        <v>3300000000</v>
      </c>
      <c r="E19" s="3">
        <v>3300000000</v>
      </c>
      <c r="F19" s="3"/>
    </row>
    <row r="20" spans="1:23" x14ac:dyDescent="0.35">
      <c r="A20" t="s">
        <v>11</v>
      </c>
      <c r="B20" s="3">
        <v>700000</v>
      </c>
      <c r="C20" s="3">
        <v>20000000</v>
      </c>
      <c r="D20" s="3">
        <v>1900000000</v>
      </c>
      <c r="E20" s="3">
        <f>C20+D20</f>
        <v>1920000000</v>
      </c>
      <c r="F20" s="3"/>
    </row>
    <row r="21" spans="1:23" x14ac:dyDescent="0.35">
      <c r="A21" t="s">
        <v>12</v>
      </c>
      <c r="B21" s="3">
        <v>600000</v>
      </c>
      <c r="C21" s="3">
        <v>69000000</v>
      </c>
      <c r="D21" s="3">
        <v>2600000000</v>
      </c>
      <c r="E21" s="3">
        <f>C21+D21</f>
        <v>2669000000</v>
      </c>
      <c r="F21" s="3"/>
    </row>
    <row r="22" spans="1:23" x14ac:dyDescent="0.35">
      <c r="A22" t="s">
        <v>55</v>
      </c>
      <c r="B22" s="3">
        <v>400000</v>
      </c>
      <c r="C22" s="3"/>
      <c r="D22" s="3">
        <v>14000</v>
      </c>
      <c r="E22" s="3">
        <f>D22*B22</f>
        <v>5600000000</v>
      </c>
      <c r="H22" s="3"/>
    </row>
    <row r="23" spans="1:23" x14ac:dyDescent="0.35">
      <c r="A23" t="s">
        <v>28</v>
      </c>
      <c r="B23" s="3"/>
      <c r="C23" s="3"/>
      <c r="D23" s="3"/>
      <c r="E23" s="3">
        <v>5000000000</v>
      </c>
    </row>
    <row r="24" spans="1:23" x14ac:dyDescent="0.35">
      <c r="A24" t="s">
        <v>59</v>
      </c>
      <c r="B24" s="3"/>
      <c r="C24" s="3"/>
      <c r="D24" s="3"/>
      <c r="E24" s="3">
        <v>2460000000</v>
      </c>
    </row>
    <row r="25" spans="1:23" x14ac:dyDescent="0.35">
      <c r="A25" t="s">
        <v>5</v>
      </c>
      <c r="B25" s="3"/>
      <c r="C25" s="3">
        <f>SUM(C17:C24)</f>
        <v>242000000</v>
      </c>
      <c r="D25" s="3">
        <f>SUM(D17:D24)</f>
        <v>16100014000</v>
      </c>
      <c r="E25" s="3">
        <f>SUM(E17:E24)</f>
        <v>29402000000</v>
      </c>
      <c r="F25" s="3">
        <f>E25</f>
        <v>29402000000</v>
      </c>
      <c r="M25" s="3"/>
    </row>
    <row r="26" spans="1:23" x14ac:dyDescent="0.35">
      <c r="B26" s="3"/>
      <c r="C26" s="3"/>
      <c r="D26" s="3"/>
      <c r="E26" s="3"/>
    </row>
    <row r="27" spans="1:23" x14ac:dyDescent="0.35">
      <c r="A27" s="1" t="s">
        <v>58</v>
      </c>
    </row>
    <row r="28" spans="1:23" x14ac:dyDescent="0.35">
      <c r="A28" t="s">
        <v>33</v>
      </c>
      <c r="B28" s="3">
        <v>250000</v>
      </c>
      <c r="C28">
        <f>D2</f>
        <v>6600</v>
      </c>
      <c r="E28" s="3">
        <f>B28*C28</f>
        <v>1650000000</v>
      </c>
      <c r="M28" s="3"/>
    </row>
    <row r="30" spans="1:23" x14ac:dyDescent="0.35">
      <c r="A30" s="6" t="s">
        <v>41</v>
      </c>
      <c r="E30" s="12">
        <f>E28+E25</f>
        <v>31052000000</v>
      </c>
      <c r="M30" s="7"/>
    </row>
    <row r="32" spans="1:23" x14ac:dyDescent="0.35">
      <c r="A32" t="s">
        <v>242</v>
      </c>
      <c r="F32" s="3">
        <v>10000000000</v>
      </c>
    </row>
    <row r="33" spans="1:14" x14ac:dyDescent="0.35">
      <c r="E33" s="3"/>
    </row>
    <row r="34" spans="1:14" x14ac:dyDescent="0.35">
      <c r="A34" t="s">
        <v>183</v>
      </c>
      <c r="E34" s="3"/>
      <c r="F34" s="3">
        <f>F25-F32</f>
        <v>19402000000</v>
      </c>
      <c r="M34" s="45">
        <f>F34</f>
        <v>19402000000</v>
      </c>
    </row>
    <row r="35" spans="1:14" x14ac:dyDescent="0.35">
      <c r="A35" t="s">
        <v>27</v>
      </c>
    </row>
    <row r="36" spans="1:14" x14ac:dyDescent="0.35">
      <c r="A36" t="s">
        <v>17</v>
      </c>
      <c r="B36">
        <v>3121070</v>
      </c>
    </row>
    <row r="37" spans="1:14" x14ac:dyDescent="0.35">
      <c r="A37" t="s">
        <v>18</v>
      </c>
      <c r="B37">
        <v>10369255</v>
      </c>
    </row>
    <row r="38" spans="1:14" x14ac:dyDescent="0.35">
      <c r="A38" t="s">
        <v>26</v>
      </c>
      <c r="B38">
        <v>13490325</v>
      </c>
    </row>
    <row r="39" spans="1:14" x14ac:dyDescent="0.35">
      <c r="A39" s="1" t="s">
        <v>199</v>
      </c>
      <c r="N39" t="s">
        <v>179</v>
      </c>
    </row>
    <row r="40" spans="1:14" x14ac:dyDescent="0.35">
      <c r="B40" s="4"/>
      <c r="C40" s="4"/>
      <c r="D40" s="4"/>
      <c r="E40" s="4"/>
      <c r="F40" s="4"/>
      <c r="G40" s="4"/>
      <c r="H40" s="36"/>
      <c r="I40" s="4"/>
      <c r="J40" s="4"/>
      <c r="K40" s="4"/>
    </row>
    <row r="41" spans="1:14" x14ac:dyDescent="0.35">
      <c r="A41" t="s">
        <v>217</v>
      </c>
      <c r="B41" s="4">
        <f>C10</f>
        <v>1500</v>
      </c>
      <c r="C41" s="4">
        <f>4/5*($D$4*C50+$D$5)+(0.2*$C$10)</f>
        <v>5245.6</v>
      </c>
      <c r="D41" s="4">
        <f>$D$4*D50+$D$5</f>
        <v>5966.4</v>
      </c>
      <c r="E41" s="4">
        <f>$D$4*E50+$D$5</f>
        <v>5777.2</v>
      </c>
      <c r="F41" s="4">
        <f t="shared" ref="F41:K41" si="0">$D$4*F50+$D$5</f>
        <v>5513.2</v>
      </c>
      <c r="G41" s="4">
        <f t="shared" si="0"/>
        <v>5209.6000000000004</v>
      </c>
      <c r="H41" s="4">
        <f t="shared" si="0"/>
        <v>4844.3999999999996</v>
      </c>
      <c r="I41" s="4">
        <f t="shared" si="0"/>
        <v>4413.2000000000007</v>
      </c>
      <c r="J41" s="4">
        <f t="shared" si="0"/>
        <v>3762</v>
      </c>
      <c r="K41" s="4">
        <f t="shared" si="0"/>
        <v>1592.8000000000002</v>
      </c>
      <c r="N41" s="3">
        <f>SUM(C41:K41)*B38/10</f>
        <v>57096991143.000015</v>
      </c>
    </row>
    <row r="42" spans="1:14" x14ac:dyDescent="0.35">
      <c r="A42" t="s">
        <v>202</v>
      </c>
      <c r="N42" s="3">
        <f>E10</f>
        <v>5915267280</v>
      </c>
    </row>
    <row r="43" spans="1:14" x14ac:dyDescent="0.35">
      <c r="A43" t="s">
        <v>7</v>
      </c>
      <c r="N43" s="3">
        <f>E11</f>
        <v>4410300000</v>
      </c>
    </row>
    <row r="44" spans="1:14" x14ac:dyDescent="0.35">
      <c r="A44" t="s">
        <v>241</v>
      </c>
      <c r="N44" s="3">
        <f>B22*(C9-D2)</f>
        <v>2400000000</v>
      </c>
    </row>
    <row r="45" spans="1:14" x14ac:dyDescent="0.35">
      <c r="A45" s="8" t="s">
        <v>201</v>
      </c>
      <c r="B45" s="8"/>
      <c r="C45" s="8"/>
      <c r="D45" s="8"/>
      <c r="E45" s="8"/>
      <c r="F45" s="8"/>
      <c r="G45" s="8"/>
      <c r="H45" s="8"/>
      <c r="I45" s="8"/>
      <c r="J45" s="8"/>
      <c r="K45" s="8"/>
      <c r="L45" s="8"/>
      <c r="M45" s="8"/>
      <c r="N45" s="13">
        <f>SUM(N41:N44)</f>
        <v>69822558423.000015</v>
      </c>
    </row>
    <row r="47" spans="1:14" ht="18.5" x14ac:dyDescent="0.45">
      <c r="A47" s="5" t="s">
        <v>34</v>
      </c>
    </row>
    <row r="48" spans="1:14" x14ac:dyDescent="0.35">
      <c r="A48" t="s">
        <v>19</v>
      </c>
      <c r="B48">
        <v>1</v>
      </c>
      <c r="C48">
        <v>2</v>
      </c>
      <c r="D48">
        <v>3</v>
      </c>
      <c r="E48">
        <v>4</v>
      </c>
      <c r="F48">
        <v>5</v>
      </c>
      <c r="G48">
        <v>6</v>
      </c>
      <c r="H48">
        <v>7</v>
      </c>
      <c r="I48">
        <v>8</v>
      </c>
      <c r="J48">
        <v>9</v>
      </c>
      <c r="K48">
        <v>10</v>
      </c>
    </row>
    <row r="49" spans="1:19" x14ac:dyDescent="0.35">
      <c r="A49" s="1" t="s">
        <v>124</v>
      </c>
    </row>
    <row r="50" spans="1:19" x14ac:dyDescent="0.35">
      <c r="A50" t="s">
        <v>64</v>
      </c>
      <c r="B50" s="4">
        <v>2400</v>
      </c>
      <c r="C50" s="4">
        <v>9500</v>
      </c>
      <c r="D50" s="4">
        <v>14400</v>
      </c>
      <c r="E50" s="4">
        <v>18700</v>
      </c>
      <c r="F50" s="4">
        <v>24700</v>
      </c>
      <c r="G50" s="4">
        <v>31600</v>
      </c>
      <c r="H50" s="36">
        <v>39900</v>
      </c>
      <c r="I50" s="4">
        <v>49700</v>
      </c>
      <c r="J50" s="4">
        <v>64500</v>
      </c>
      <c r="K50" s="4">
        <v>113800</v>
      </c>
    </row>
    <row r="51" spans="1:19" x14ac:dyDescent="0.35">
      <c r="A51" t="s">
        <v>22</v>
      </c>
      <c r="B51" s="4"/>
      <c r="C51" s="4"/>
      <c r="D51" s="4"/>
      <c r="E51" s="4"/>
      <c r="F51" s="4"/>
      <c r="G51" s="4"/>
      <c r="H51" s="4"/>
      <c r="I51" s="4"/>
      <c r="J51" s="4"/>
      <c r="K51" s="4"/>
    </row>
    <row r="52" spans="1:19" x14ac:dyDescent="0.35">
      <c r="A52" t="s">
        <v>20</v>
      </c>
      <c r="B52" s="4">
        <f t="shared" ref="B52:K52" si="1">IF(B50&lt;68507,37.35%*B50,(37.35%*68507+(B50-68507)*49.5%))</f>
        <v>896.4</v>
      </c>
      <c r="C52" s="4">
        <f t="shared" si="1"/>
        <v>3548.25</v>
      </c>
      <c r="D52" s="4">
        <f t="shared" si="1"/>
        <v>5378.4</v>
      </c>
      <c r="E52" s="4">
        <f t="shared" si="1"/>
        <v>6984.45</v>
      </c>
      <c r="F52" s="4">
        <f t="shared" si="1"/>
        <v>9225.4500000000007</v>
      </c>
      <c r="G52" s="4">
        <f t="shared" si="1"/>
        <v>11802.6</v>
      </c>
      <c r="H52" s="4">
        <f t="shared" si="1"/>
        <v>14902.65</v>
      </c>
      <c r="I52" s="4">
        <f t="shared" si="1"/>
        <v>18562.95</v>
      </c>
      <c r="J52" s="4">
        <f t="shared" si="1"/>
        <v>24090.75</v>
      </c>
      <c r="K52" s="4">
        <f t="shared" si="1"/>
        <v>48007.3995</v>
      </c>
    </row>
    <row r="53" spans="1:19" x14ac:dyDescent="0.35">
      <c r="A53" t="s">
        <v>21</v>
      </c>
      <c r="B53" s="4">
        <f t="shared" ref="B53:K53" si="2">IF(B50&lt;20711,2711,IF(B50&lt;68507,(2711-0.05672*(B50-20711)),0))</f>
        <v>2711</v>
      </c>
      <c r="C53" s="4">
        <f t="shared" si="2"/>
        <v>2711</v>
      </c>
      <c r="D53" s="4">
        <f t="shared" si="2"/>
        <v>2711</v>
      </c>
      <c r="E53" s="4">
        <f t="shared" si="2"/>
        <v>2711</v>
      </c>
      <c r="F53" s="4">
        <f t="shared" si="2"/>
        <v>2484.7439199999999</v>
      </c>
      <c r="G53" s="4">
        <f t="shared" si="2"/>
        <v>2093.37592</v>
      </c>
      <c r="H53" s="4">
        <f t="shared" si="2"/>
        <v>1622.5999200000001</v>
      </c>
      <c r="I53" s="4">
        <f t="shared" si="2"/>
        <v>1066.7439200000001</v>
      </c>
      <c r="J53" s="4">
        <f t="shared" si="2"/>
        <v>227.28792000000021</v>
      </c>
      <c r="K53" s="4">
        <f t="shared" si="2"/>
        <v>0</v>
      </c>
      <c r="R53" t="s">
        <v>76</v>
      </c>
    </row>
    <row r="54" spans="1:19" x14ac:dyDescent="0.35">
      <c r="A54" t="s">
        <v>23</v>
      </c>
      <c r="B54" s="4">
        <f t="shared" ref="B54:K54" si="3">IF(B50&lt;9921,0.02812*B50,IF(B50&lt;21430,279+0.28812*(B50-9921),IF(B50&lt;34954,3595+0.01656*(B50-21430),IF(B50&lt;98604,3819-0.06*(B50-34954),0))))</f>
        <v>67.488</v>
      </c>
      <c r="C54" s="4">
        <f t="shared" si="3"/>
        <v>267.14</v>
      </c>
      <c r="D54" s="4">
        <f t="shared" si="3"/>
        <v>1569.48948</v>
      </c>
      <c r="E54" s="4">
        <f t="shared" si="3"/>
        <v>2808.4054799999999</v>
      </c>
      <c r="F54" s="4">
        <f t="shared" si="3"/>
        <v>3649.1511999999998</v>
      </c>
      <c r="G54" s="4">
        <f t="shared" si="3"/>
        <v>3763.4151999999999</v>
      </c>
      <c r="H54" s="4">
        <f t="shared" si="3"/>
        <v>3522.24</v>
      </c>
      <c r="I54" s="4">
        <f t="shared" si="3"/>
        <v>2934.24</v>
      </c>
      <c r="J54" s="4">
        <f t="shared" si="3"/>
        <v>2046.24</v>
      </c>
      <c r="K54" s="4">
        <f t="shared" si="3"/>
        <v>0</v>
      </c>
      <c r="O54" t="s">
        <v>74</v>
      </c>
      <c r="R54" s="10">
        <f>K50/SUM(B50:K50)*100%</f>
        <v>0.30823401950162516</v>
      </c>
      <c r="S54" s="10"/>
    </row>
    <row r="55" spans="1:19" x14ac:dyDescent="0.35">
      <c r="A55" t="s">
        <v>24</v>
      </c>
      <c r="B55" s="4">
        <f>IF(B52-B53-B54&lt;0,0,B52-B53-B54)</f>
        <v>0</v>
      </c>
      <c r="C55" s="4">
        <f t="shared" ref="C55:K55" si="4">IF(C52-C53-C54&lt;0,0,C52-C53-C54)</f>
        <v>570.11</v>
      </c>
      <c r="D55" s="4">
        <f t="shared" si="4"/>
        <v>1097.9105199999997</v>
      </c>
      <c r="E55" s="4">
        <f t="shared" si="4"/>
        <v>1465.0445199999999</v>
      </c>
      <c r="F55" s="4">
        <f t="shared" si="4"/>
        <v>3091.554880000001</v>
      </c>
      <c r="G55" s="4">
        <f t="shared" si="4"/>
        <v>5945.8088800000005</v>
      </c>
      <c r="H55" s="4">
        <f t="shared" si="4"/>
        <v>9757.8100799999993</v>
      </c>
      <c r="I55" s="4">
        <f t="shared" si="4"/>
        <v>14561.96608</v>
      </c>
      <c r="J55" s="4">
        <f t="shared" si="4"/>
        <v>21817.22208</v>
      </c>
      <c r="K55" s="4">
        <f t="shared" si="4"/>
        <v>48007.3995</v>
      </c>
      <c r="M55" s="3">
        <f>($B$37/10)*SUM(B55:K55)</f>
        <v>110240554667.40279</v>
      </c>
      <c r="O55" t="s">
        <v>75</v>
      </c>
      <c r="R55" s="10">
        <f>SUM(B50:F50)/SUM(B50:K50)</f>
        <v>0.18878656554712892</v>
      </c>
      <c r="S55" s="10"/>
    </row>
    <row r="56" spans="1:19" x14ac:dyDescent="0.35">
      <c r="A56" t="s">
        <v>25</v>
      </c>
      <c r="B56" s="4">
        <f t="shared" ref="B56:K56" si="5">B50-B55</f>
        <v>2400</v>
      </c>
      <c r="C56" s="4">
        <f t="shared" si="5"/>
        <v>8929.89</v>
      </c>
      <c r="D56" s="4">
        <f t="shared" si="5"/>
        <v>13302.089480000001</v>
      </c>
      <c r="E56" s="4">
        <f t="shared" si="5"/>
        <v>17234.955480000001</v>
      </c>
      <c r="F56" s="4">
        <f t="shared" si="5"/>
        <v>21608.44512</v>
      </c>
      <c r="G56" s="4">
        <f t="shared" si="5"/>
        <v>25654.19112</v>
      </c>
      <c r="H56" s="4">
        <f t="shared" si="5"/>
        <v>30142.189920000001</v>
      </c>
      <c r="I56" s="4">
        <f t="shared" si="5"/>
        <v>35138.033920000002</v>
      </c>
      <c r="J56" s="4">
        <f t="shared" si="5"/>
        <v>42682.77792</v>
      </c>
      <c r="K56" s="4">
        <f t="shared" si="5"/>
        <v>65792.6005</v>
      </c>
    </row>
    <row r="57" spans="1:19" x14ac:dyDescent="0.35">
      <c r="A57" t="s">
        <v>65</v>
      </c>
      <c r="B57" s="4"/>
      <c r="C57" s="4">
        <f>C56</f>
        <v>8929.89</v>
      </c>
      <c r="D57" s="4">
        <f t="shared" ref="D57:I57" si="6">D56</f>
        <v>13302.089480000001</v>
      </c>
      <c r="E57" s="4">
        <f t="shared" si="6"/>
        <v>17234.955480000001</v>
      </c>
      <c r="F57" s="4">
        <f t="shared" si="6"/>
        <v>21608.44512</v>
      </c>
      <c r="G57" s="4">
        <f t="shared" si="6"/>
        <v>25654.19112</v>
      </c>
      <c r="H57" s="4">
        <f t="shared" si="6"/>
        <v>30142.189920000001</v>
      </c>
      <c r="I57" s="4">
        <f t="shared" si="6"/>
        <v>35138.033920000002</v>
      </c>
      <c r="J57" s="4"/>
      <c r="K57" s="4"/>
    </row>
    <row r="58" spans="1:19" x14ac:dyDescent="0.35">
      <c r="B58" s="3"/>
      <c r="C58" s="3"/>
      <c r="D58" s="3"/>
      <c r="E58" s="3"/>
      <c r="F58" s="3"/>
      <c r="G58" s="3"/>
      <c r="H58" s="3"/>
      <c r="I58" s="3"/>
      <c r="J58" s="3"/>
      <c r="K58" s="3"/>
    </row>
    <row r="59" spans="1:19" x14ac:dyDescent="0.35">
      <c r="A59" t="s">
        <v>30</v>
      </c>
      <c r="B59" s="3"/>
      <c r="C59" s="3"/>
      <c r="J59" s="3"/>
      <c r="K59" s="3"/>
    </row>
    <row r="60" spans="1:19" x14ac:dyDescent="0.35">
      <c r="A60" t="s">
        <v>120</v>
      </c>
      <c r="B60" s="3"/>
      <c r="C60" s="3"/>
      <c r="D60" s="4">
        <f t="shared" ref="D60:J60" si="7">D50</f>
        <v>14400</v>
      </c>
      <c r="E60" s="4">
        <f t="shared" si="7"/>
        <v>18700</v>
      </c>
      <c r="F60" s="4">
        <f t="shared" si="7"/>
        <v>24700</v>
      </c>
      <c r="G60" s="4">
        <f t="shared" si="7"/>
        <v>31600</v>
      </c>
      <c r="H60" s="4">
        <f t="shared" si="7"/>
        <v>39900</v>
      </c>
      <c r="I60" s="4">
        <f t="shared" si="7"/>
        <v>49700</v>
      </c>
      <c r="J60" s="4">
        <f t="shared" si="7"/>
        <v>64500</v>
      </c>
      <c r="K60" s="3"/>
    </row>
    <row r="61" spans="1:19" x14ac:dyDescent="0.35">
      <c r="A61" t="s">
        <v>31</v>
      </c>
      <c r="B61" s="3"/>
      <c r="C61" s="3"/>
      <c r="D61" s="4">
        <f t="shared" ref="D61:J61" si="8">IF(D60&lt;35376,19.45%*D60,IF(D60&lt;68507,6880+(D60-35376)*37.35%,6880+12374+(D60-68507)*49.5%))</f>
        <v>2800.8</v>
      </c>
      <c r="E61" s="4">
        <f t="shared" si="8"/>
        <v>3637.15</v>
      </c>
      <c r="F61" s="4">
        <f t="shared" si="8"/>
        <v>4804.1500000000005</v>
      </c>
      <c r="G61" s="4">
        <f t="shared" si="8"/>
        <v>6146.2</v>
      </c>
      <c r="H61" s="4">
        <f t="shared" si="8"/>
        <v>8569.7139999999999</v>
      </c>
      <c r="I61" s="4">
        <f t="shared" si="8"/>
        <v>12230.013999999999</v>
      </c>
      <c r="J61" s="4">
        <f t="shared" si="8"/>
        <v>17757.813999999998</v>
      </c>
      <c r="K61" s="3"/>
    </row>
    <row r="62" spans="1:19" x14ac:dyDescent="0.35">
      <c r="A62" t="s">
        <v>21</v>
      </c>
      <c r="B62" s="3"/>
      <c r="C62" s="3"/>
      <c r="D62" s="4">
        <f>IF(D60&lt;20711,1413,IF(D60&lt;68507,(1413-0.02954*(D60-20711)),0))</f>
        <v>1413</v>
      </c>
      <c r="E62" s="4">
        <f t="shared" ref="E62:J62" si="9">IF(E60&lt;20711,1413,IF(E60&lt;68507,(1413-0.02954*(E60-20711)),0))</f>
        <v>1413</v>
      </c>
      <c r="F62" s="4">
        <f t="shared" si="9"/>
        <v>1295.1649400000001</v>
      </c>
      <c r="G62" s="4">
        <f t="shared" si="9"/>
        <v>1091.3389400000001</v>
      </c>
      <c r="H62" s="4">
        <f t="shared" si="9"/>
        <v>846.15693999999996</v>
      </c>
      <c r="I62" s="4">
        <f t="shared" si="9"/>
        <v>556.66494</v>
      </c>
      <c r="J62" s="4">
        <f t="shared" si="9"/>
        <v>119.47293999999988</v>
      </c>
      <c r="K62" s="3"/>
    </row>
    <row r="63" spans="1:19" x14ac:dyDescent="0.35">
      <c r="A63" t="s">
        <v>35</v>
      </c>
      <c r="B63" s="3"/>
      <c r="C63" s="3"/>
      <c r="D63" s="4">
        <f>IF(D60&lt;37372,1622,IF(D60&lt;37372,1622-0.15*(D60-37372),0))</f>
        <v>1622</v>
      </c>
      <c r="E63" s="4">
        <f t="shared" ref="E63:J63" si="10">IF(E60&lt;37372,1622,IF(E60&lt;37372,1622-0.15*(E60-37372),0))</f>
        <v>1622</v>
      </c>
      <c r="F63" s="4">
        <f t="shared" si="10"/>
        <v>1622</v>
      </c>
      <c r="G63" s="4">
        <f t="shared" si="10"/>
        <v>1622</v>
      </c>
      <c r="H63" s="4">
        <f t="shared" si="10"/>
        <v>0</v>
      </c>
      <c r="I63" s="4">
        <f t="shared" si="10"/>
        <v>0</v>
      </c>
      <c r="J63" s="4">
        <f t="shared" si="10"/>
        <v>0</v>
      </c>
      <c r="K63" s="3"/>
    </row>
    <row r="64" spans="1:19" x14ac:dyDescent="0.35">
      <c r="A64" t="s">
        <v>24</v>
      </c>
      <c r="B64" s="3"/>
      <c r="C64" s="3"/>
      <c r="D64" s="4">
        <f t="shared" ref="D64:J64" si="11">IF(D61-D62-D63&lt;0,0,D61-D62-D63)</f>
        <v>0</v>
      </c>
      <c r="E64" s="4">
        <f t="shared" si="11"/>
        <v>602.15000000000009</v>
      </c>
      <c r="F64" s="4">
        <f t="shared" si="11"/>
        <v>1886.9850600000004</v>
      </c>
      <c r="G64" s="4">
        <f t="shared" si="11"/>
        <v>3432.8610599999993</v>
      </c>
      <c r="H64" s="4">
        <f t="shared" si="11"/>
        <v>7723.5570600000001</v>
      </c>
      <c r="I64" s="4">
        <f t="shared" si="11"/>
        <v>11673.349059999999</v>
      </c>
      <c r="J64" s="4">
        <f t="shared" si="11"/>
        <v>17638.341059999999</v>
      </c>
      <c r="K64" s="3"/>
      <c r="M64" s="3">
        <f>($B$36/7)*SUM(D64:J64)</f>
        <v>19153223335.19014</v>
      </c>
    </row>
    <row r="65" spans="1:13" x14ac:dyDescent="0.35">
      <c r="A65" t="s">
        <v>25</v>
      </c>
      <c r="B65" s="3"/>
      <c r="C65" s="3"/>
      <c r="D65" s="4">
        <f>D60-D64</f>
        <v>14400</v>
      </c>
      <c r="E65" s="4">
        <f t="shared" ref="E65:J65" si="12">E60-E64</f>
        <v>18097.849999999999</v>
      </c>
      <c r="F65" s="4">
        <f t="shared" si="12"/>
        <v>22813.014940000001</v>
      </c>
      <c r="G65" s="4">
        <f t="shared" si="12"/>
        <v>28167.138940000001</v>
      </c>
      <c r="H65" s="4">
        <f t="shared" si="12"/>
        <v>32176.442940000001</v>
      </c>
      <c r="I65" s="4">
        <f t="shared" si="12"/>
        <v>38026.65094</v>
      </c>
      <c r="J65" s="4">
        <f t="shared" si="12"/>
        <v>46861.658940000001</v>
      </c>
      <c r="K65" s="3"/>
      <c r="M65" s="3"/>
    </row>
    <row r="66" spans="1:13" x14ac:dyDescent="0.35">
      <c r="B66" s="3"/>
      <c r="C66" s="3"/>
      <c r="D66" s="4"/>
      <c r="E66" s="4"/>
      <c r="F66" s="4"/>
      <c r="G66" s="4"/>
      <c r="H66" s="4"/>
      <c r="I66" s="4"/>
      <c r="J66" s="3"/>
      <c r="K66" s="3"/>
    </row>
    <row r="67" spans="1:13" x14ac:dyDescent="0.35">
      <c r="A67" t="s">
        <v>32</v>
      </c>
      <c r="B67" s="3"/>
      <c r="C67" s="3"/>
      <c r="D67" s="4"/>
      <c r="E67" s="4"/>
      <c r="F67" s="4"/>
      <c r="G67" s="4"/>
      <c r="H67" s="4"/>
      <c r="I67" s="4"/>
      <c r="J67" s="3"/>
      <c r="K67" s="3"/>
      <c r="M67" s="13">
        <f>SUM(M55:M65)</f>
        <v>129393778002.59293</v>
      </c>
    </row>
    <row r="68" spans="1:13" x14ac:dyDescent="0.35">
      <c r="B68" s="3"/>
      <c r="C68" s="3"/>
      <c r="D68" s="4"/>
      <c r="E68" s="4"/>
      <c r="F68" s="4"/>
      <c r="G68" s="4"/>
      <c r="H68" s="4"/>
      <c r="I68" s="4"/>
      <c r="J68" s="3"/>
      <c r="K68" s="3"/>
      <c r="M68" s="3"/>
    </row>
    <row r="69" spans="1:13" x14ac:dyDescent="0.35">
      <c r="A69" t="s">
        <v>109</v>
      </c>
      <c r="B69" s="23">
        <f t="shared" ref="B69:K69" si="13">B55/B50</f>
        <v>0</v>
      </c>
      <c r="C69" s="23">
        <f t="shared" si="13"/>
        <v>6.0011578947368423E-2</v>
      </c>
      <c r="D69" s="23">
        <f t="shared" si="13"/>
        <v>7.6243786111111087E-2</v>
      </c>
      <c r="E69" s="23">
        <f t="shared" si="13"/>
        <v>7.834462673796791E-2</v>
      </c>
      <c r="F69" s="23">
        <f t="shared" si="13"/>
        <v>0.12516416518218629</v>
      </c>
      <c r="G69" s="23">
        <f t="shared" si="13"/>
        <v>0.18815850886075952</v>
      </c>
      <c r="H69" s="23">
        <f t="shared" si="13"/>
        <v>0.24455664360902254</v>
      </c>
      <c r="I69" s="23">
        <f t="shared" si="13"/>
        <v>0.29299730543259556</v>
      </c>
      <c r="J69" s="23">
        <f t="shared" si="13"/>
        <v>0.33825150511627905</v>
      </c>
      <c r="K69" s="23">
        <f t="shared" si="13"/>
        <v>0.42185764059753955</v>
      </c>
      <c r="M69" s="3"/>
    </row>
    <row r="70" spans="1:13" x14ac:dyDescent="0.35">
      <c r="B70" s="3"/>
      <c r="C70" s="3"/>
      <c r="D70" s="3"/>
      <c r="E70" s="3"/>
      <c r="F70" s="3"/>
      <c r="G70" s="3"/>
      <c r="H70" s="3"/>
      <c r="I70" s="3"/>
      <c r="J70" s="3"/>
      <c r="K70" s="3"/>
    </row>
    <row r="71" spans="1:13" ht="18.5" x14ac:dyDescent="0.45">
      <c r="A71" s="5" t="s">
        <v>184</v>
      </c>
    </row>
    <row r="72" spans="1:13" ht="18.5" x14ac:dyDescent="0.45">
      <c r="A72" s="5" t="s">
        <v>22</v>
      </c>
    </row>
    <row r="73" spans="1:13" x14ac:dyDescent="0.35">
      <c r="A73" t="str">
        <f t="shared" ref="A73:K73" si="14">A48</f>
        <v>Deciel</v>
      </c>
      <c r="B73" s="4">
        <f t="shared" si="14"/>
        <v>1</v>
      </c>
      <c r="C73" s="4">
        <f t="shared" si="14"/>
        <v>2</v>
      </c>
      <c r="D73" s="4">
        <f t="shared" si="14"/>
        <v>3</v>
      </c>
      <c r="E73" s="4">
        <f t="shared" si="14"/>
        <v>4</v>
      </c>
      <c r="F73" s="4">
        <f t="shared" si="14"/>
        <v>5</v>
      </c>
      <c r="G73" s="4">
        <f t="shared" si="14"/>
        <v>6</v>
      </c>
      <c r="H73" s="4">
        <f t="shared" si="14"/>
        <v>7</v>
      </c>
      <c r="I73" s="4">
        <f t="shared" si="14"/>
        <v>8</v>
      </c>
      <c r="J73" s="4">
        <f t="shared" si="14"/>
        <v>9</v>
      </c>
      <c r="K73" s="4">
        <f t="shared" si="14"/>
        <v>10</v>
      </c>
    </row>
    <row r="74" spans="1:13" x14ac:dyDescent="0.35">
      <c r="B74" s="4"/>
      <c r="C74" s="4"/>
      <c r="D74" s="4"/>
      <c r="E74" s="4"/>
      <c r="F74" s="4"/>
      <c r="G74" s="4"/>
      <c r="H74" s="4"/>
      <c r="I74" s="4"/>
      <c r="J74" s="4"/>
      <c r="K74" s="4"/>
    </row>
    <row r="75" spans="1:13" x14ac:dyDescent="0.35">
      <c r="A75" t="str">
        <f t="shared" ref="A75:K75" si="15">A50</f>
        <v>Persoonlijk bruto inkomen (CBS, 2018)</v>
      </c>
      <c r="B75" s="4">
        <f t="shared" si="15"/>
        <v>2400</v>
      </c>
      <c r="C75" s="4">
        <f t="shared" si="15"/>
        <v>9500</v>
      </c>
      <c r="D75" s="4">
        <f t="shared" si="15"/>
        <v>14400</v>
      </c>
      <c r="E75" s="4">
        <f t="shared" si="15"/>
        <v>18700</v>
      </c>
      <c r="F75" s="4">
        <f t="shared" si="15"/>
        <v>24700</v>
      </c>
      <c r="G75" s="4">
        <f t="shared" si="15"/>
        <v>31600</v>
      </c>
      <c r="H75" s="4">
        <f t="shared" si="15"/>
        <v>39900</v>
      </c>
      <c r="I75" s="4">
        <f t="shared" si="15"/>
        <v>49700</v>
      </c>
      <c r="J75" s="4">
        <f t="shared" si="15"/>
        <v>64500</v>
      </c>
      <c r="K75" s="4">
        <f t="shared" si="15"/>
        <v>113800</v>
      </c>
    </row>
    <row r="76" spans="1:13" x14ac:dyDescent="0.35">
      <c r="A76" t="s">
        <v>181</v>
      </c>
      <c r="B76" s="4">
        <f t="shared" ref="B76:K76" si="16">B75+B41</f>
        <v>3900</v>
      </c>
      <c r="C76" s="4">
        <f t="shared" si="16"/>
        <v>14745.6</v>
      </c>
      <c r="D76" s="4">
        <f t="shared" si="16"/>
        <v>20366.400000000001</v>
      </c>
      <c r="E76" s="4">
        <f t="shared" si="16"/>
        <v>24477.200000000001</v>
      </c>
      <c r="F76" s="4">
        <f t="shared" si="16"/>
        <v>30213.200000000001</v>
      </c>
      <c r="G76" s="4">
        <f t="shared" si="16"/>
        <v>36809.599999999999</v>
      </c>
      <c r="H76" s="4">
        <f t="shared" si="16"/>
        <v>44744.4</v>
      </c>
      <c r="I76" s="4">
        <f t="shared" si="16"/>
        <v>54113.2</v>
      </c>
      <c r="J76" s="4">
        <f t="shared" si="16"/>
        <v>68262</v>
      </c>
      <c r="K76" s="4">
        <f t="shared" si="16"/>
        <v>115392.8</v>
      </c>
    </row>
    <row r="77" spans="1:13" x14ac:dyDescent="0.35">
      <c r="A77" t="str">
        <f t="shared" ref="A77:A82" si="17">A51</f>
        <v>WERKENDEN</v>
      </c>
      <c r="B77" s="4"/>
      <c r="C77" s="4"/>
      <c r="D77" s="4"/>
      <c r="E77" s="4"/>
      <c r="F77" s="4"/>
      <c r="G77" s="4"/>
      <c r="H77" s="4"/>
      <c r="I77" s="4"/>
      <c r="J77" s="4"/>
      <c r="K77" s="4"/>
    </row>
    <row r="78" spans="1:13" x14ac:dyDescent="0.35">
      <c r="A78" t="str">
        <f t="shared" si="17"/>
        <v>IB werkenden (37,35%&lt;68507&lt;49,5%0</v>
      </c>
      <c r="B78" s="4">
        <f>IF(B76&lt;68507,37.35%*B76,(37.35%*68507+(B76-68507)*49.5%))</f>
        <v>1456.65</v>
      </c>
      <c r="C78" s="4">
        <f t="shared" ref="C78:K78" si="18">IF(C76&lt;68507,37.35%*C76,(37.35%*68507+(C76-68507)*49.5%))</f>
        <v>5507.4816000000001</v>
      </c>
      <c r="D78" s="4">
        <f t="shared" si="18"/>
        <v>7606.8504000000003</v>
      </c>
      <c r="E78" s="4">
        <f t="shared" si="18"/>
        <v>9142.2342000000008</v>
      </c>
      <c r="F78" s="4">
        <f t="shared" si="18"/>
        <v>11284.6302</v>
      </c>
      <c r="G78" s="4">
        <f t="shared" si="18"/>
        <v>13748.3856</v>
      </c>
      <c r="H78" s="4">
        <f t="shared" si="18"/>
        <v>16712.0334</v>
      </c>
      <c r="I78" s="4">
        <f t="shared" si="18"/>
        <v>20211.280199999997</v>
      </c>
      <c r="J78" s="4">
        <f t="shared" si="18"/>
        <v>25495.857</v>
      </c>
      <c r="K78" s="4">
        <f t="shared" si="18"/>
        <v>48795.835500000001</v>
      </c>
    </row>
    <row r="79" spans="1:13" x14ac:dyDescent="0.35">
      <c r="A79" t="str">
        <f t="shared" si="17"/>
        <v>Algemene Heffingskorting</v>
      </c>
      <c r="B79" s="4">
        <f t="shared" ref="B79:K79" si="19">IF(B76&lt;20711,2711,IF(B76&lt;68507,(2711-0.05672*(B76-20711)),0))</f>
        <v>2711</v>
      </c>
      <c r="C79" s="4">
        <f t="shared" si="19"/>
        <v>2711</v>
      </c>
      <c r="D79" s="4">
        <f t="shared" si="19"/>
        <v>2711</v>
      </c>
      <c r="E79" s="4">
        <f t="shared" si="19"/>
        <v>2497.381136</v>
      </c>
      <c r="F79" s="4">
        <f t="shared" si="19"/>
        <v>2172.0352160000002</v>
      </c>
      <c r="G79" s="4">
        <f t="shared" si="19"/>
        <v>1797.8874080000001</v>
      </c>
      <c r="H79" s="4">
        <f t="shared" si="19"/>
        <v>1347.825552</v>
      </c>
      <c r="I79" s="4">
        <f t="shared" si="19"/>
        <v>816.42721600000027</v>
      </c>
      <c r="J79" s="4">
        <f t="shared" si="19"/>
        <v>13.907279999999901</v>
      </c>
      <c r="K79" s="4">
        <f t="shared" si="19"/>
        <v>0</v>
      </c>
    </row>
    <row r="80" spans="1:13" x14ac:dyDescent="0.35">
      <c r="A80" t="str">
        <f t="shared" si="17"/>
        <v>Arbeidskorting</v>
      </c>
      <c r="B80" s="4">
        <f t="shared" ref="B80:K80" si="20">IF(B76&lt;9921,0.02812*B76,IF(B76&lt;21430,279+0.28812*(B76-9921),IF(B76&lt;34954,3595+0.01656*(B76-21430),IF(B76&lt;98604,3819-0.06*(B76-34954),0))))</f>
        <v>109.66799999999999</v>
      </c>
      <c r="C80" s="4">
        <f t="shared" si="20"/>
        <v>1669.063752</v>
      </c>
      <c r="D80" s="4">
        <f t="shared" si="20"/>
        <v>3288.5286480000004</v>
      </c>
      <c r="E80" s="4">
        <f t="shared" si="20"/>
        <v>3645.461632</v>
      </c>
      <c r="F80" s="4">
        <f t="shared" si="20"/>
        <v>3740.4497919999999</v>
      </c>
      <c r="G80" s="4">
        <f t="shared" si="20"/>
        <v>3707.6640000000002</v>
      </c>
      <c r="H80" s="4">
        <f t="shared" si="20"/>
        <v>3231.576</v>
      </c>
      <c r="I80" s="4">
        <f t="shared" si="20"/>
        <v>2669.4480000000003</v>
      </c>
      <c r="J80" s="4">
        <f t="shared" si="20"/>
        <v>1820.52</v>
      </c>
      <c r="K80" s="4">
        <f t="shared" si="20"/>
        <v>0</v>
      </c>
    </row>
    <row r="81" spans="1:27" x14ac:dyDescent="0.35">
      <c r="A81" t="str">
        <f t="shared" si="17"/>
        <v>Netto Belasting</v>
      </c>
      <c r="B81" s="4">
        <v>0</v>
      </c>
      <c r="C81" s="4">
        <f t="shared" ref="C81:K81" si="21">C78-C79-C80</f>
        <v>1127.417848</v>
      </c>
      <c r="D81" s="4">
        <f t="shared" si="21"/>
        <v>1607.3217519999998</v>
      </c>
      <c r="E81" s="4">
        <f t="shared" si="21"/>
        <v>2999.3914320000008</v>
      </c>
      <c r="F81" s="4">
        <f t="shared" si="21"/>
        <v>5372.145192</v>
      </c>
      <c r="G81" s="4">
        <f t="shared" si="21"/>
        <v>8242.8341919999984</v>
      </c>
      <c r="H81" s="4">
        <f t="shared" si="21"/>
        <v>12132.631848000001</v>
      </c>
      <c r="I81" s="4">
        <f t="shared" si="21"/>
        <v>16725.404983999997</v>
      </c>
      <c r="J81" s="4">
        <f t="shared" si="21"/>
        <v>23661.42972</v>
      </c>
      <c r="K81" s="4">
        <f t="shared" si="21"/>
        <v>48795.835500000001</v>
      </c>
      <c r="M81" s="3">
        <f>($B$37/10)*SUM(B81:K81)</f>
        <v>125120006230.58713</v>
      </c>
    </row>
    <row r="82" spans="1:27" x14ac:dyDescent="0.35">
      <c r="A82" t="str">
        <f t="shared" si="17"/>
        <v>Besteedbaar inkomen</v>
      </c>
      <c r="B82" s="4">
        <f>B76-B81</f>
        <v>3900</v>
      </c>
      <c r="C82" s="4">
        <f t="shared" ref="C82:K82" si="22">C76-C81</f>
        <v>13618.182152000001</v>
      </c>
      <c r="D82" s="4">
        <f t="shared" si="22"/>
        <v>18759.078248000002</v>
      </c>
      <c r="E82" s="4">
        <f t="shared" si="22"/>
        <v>21477.808568</v>
      </c>
      <c r="F82" s="4">
        <f t="shared" si="22"/>
        <v>24841.054808000001</v>
      </c>
      <c r="G82" s="4">
        <f t="shared" si="22"/>
        <v>28566.765808</v>
      </c>
      <c r="H82" s="4">
        <f t="shared" si="22"/>
        <v>32611.768152000001</v>
      </c>
      <c r="I82" s="4">
        <f t="shared" si="22"/>
        <v>37387.795016000004</v>
      </c>
      <c r="J82" s="4">
        <f t="shared" si="22"/>
        <v>44600.57028</v>
      </c>
      <c r="K82" s="4">
        <f t="shared" si="22"/>
        <v>66596.964500000002</v>
      </c>
    </row>
    <row r="84" spans="1:27" x14ac:dyDescent="0.35">
      <c r="A84" t="s">
        <v>30</v>
      </c>
    </row>
    <row r="85" spans="1:27" x14ac:dyDescent="0.35">
      <c r="A85" t="s">
        <v>16</v>
      </c>
      <c r="D85" s="4">
        <f>D76</f>
        <v>20366.400000000001</v>
      </c>
      <c r="E85" s="4">
        <f t="shared" ref="E85:J85" si="23">E76</f>
        <v>24477.200000000001</v>
      </c>
      <c r="F85" s="4">
        <f t="shared" si="23"/>
        <v>30213.200000000001</v>
      </c>
      <c r="G85" s="4">
        <f t="shared" si="23"/>
        <v>36809.599999999999</v>
      </c>
      <c r="H85" s="4">
        <f t="shared" si="23"/>
        <v>44744.4</v>
      </c>
      <c r="I85" s="4">
        <f t="shared" si="23"/>
        <v>54113.2</v>
      </c>
      <c r="J85" s="4">
        <f t="shared" si="23"/>
        <v>68262</v>
      </c>
      <c r="K85" s="4"/>
      <c r="Q85" t="s">
        <v>78</v>
      </c>
    </row>
    <row r="86" spans="1:27" x14ac:dyDescent="0.35">
      <c r="A86" t="s">
        <v>31</v>
      </c>
      <c r="D86" s="4">
        <f>IF(D85&lt;35376,19.45%*D85,IF(D85&lt;68507,6880+(D85-35376)*37.35%,6880+12374+(D85-68507)*49.5%))</f>
        <v>3961.2648000000004</v>
      </c>
      <c r="E86" s="4">
        <f t="shared" ref="E86:J86" si="24">IF(E85&lt;35376,19.45%*E85,IF(E85&lt;68507,6880+(E85-35376)*37.35%,6880+12374+(E85-68507)*49.5%))</f>
        <v>4760.8154000000004</v>
      </c>
      <c r="F86" s="4">
        <f t="shared" si="24"/>
        <v>5876.4674000000005</v>
      </c>
      <c r="G86" s="4">
        <f t="shared" si="24"/>
        <v>7415.4495999999999</v>
      </c>
      <c r="H86" s="4">
        <f t="shared" si="24"/>
        <v>10379.097400000001</v>
      </c>
      <c r="I86" s="4">
        <f t="shared" si="24"/>
        <v>13878.3442</v>
      </c>
      <c r="J86" s="4">
        <f t="shared" si="24"/>
        <v>19162.921000000002</v>
      </c>
      <c r="K86" s="4"/>
      <c r="Q86" t="s">
        <v>19</v>
      </c>
      <c r="R86">
        <f t="shared" ref="R86:AA86" si="25">B48</f>
        <v>1</v>
      </c>
      <c r="S86">
        <f t="shared" si="25"/>
        <v>2</v>
      </c>
      <c r="T86">
        <f t="shared" si="25"/>
        <v>3</v>
      </c>
      <c r="U86">
        <f t="shared" si="25"/>
        <v>4</v>
      </c>
      <c r="V86">
        <f t="shared" si="25"/>
        <v>5</v>
      </c>
      <c r="W86">
        <f t="shared" si="25"/>
        <v>6</v>
      </c>
      <c r="X86">
        <f t="shared" si="25"/>
        <v>7</v>
      </c>
      <c r="Y86">
        <f t="shared" si="25"/>
        <v>8</v>
      </c>
      <c r="Z86">
        <f t="shared" si="25"/>
        <v>9</v>
      </c>
      <c r="AA86">
        <f t="shared" si="25"/>
        <v>10</v>
      </c>
    </row>
    <row r="87" spans="1:27" x14ac:dyDescent="0.35">
      <c r="A87" t="s">
        <v>21</v>
      </c>
      <c r="D87" s="4">
        <f t="shared" ref="D87:J87" si="26">IF(D85&lt;20711,1413,IF(D85&lt;68507,(1413-0.02954*(D85-20711)),0))</f>
        <v>1413</v>
      </c>
      <c r="E87" s="4">
        <f t="shared" si="26"/>
        <v>1301.7464519999999</v>
      </c>
      <c r="F87" s="4">
        <f t="shared" si="26"/>
        <v>1132.305012</v>
      </c>
      <c r="G87" s="4">
        <f t="shared" si="26"/>
        <v>937.44735600000001</v>
      </c>
      <c r="H87" s="4">
        <f t="shared" si="26"/>
        <v>703.05336399999999</v>
      </c>
      <c r="I87" s="4">
        <f t="shared" si="26"/>
        <v>426.29901200000006</v>
      </c>
      <c r="J87" s="4">
        <f t="shared" si="26"/>
        <v>8.3434600000000501</v>
      </c>
      <c r="Q87" s="26" t="s">
        <v>79</v>
      </c>
      <c r="R87" s="14"/>
      <c r="S87" s="14"/>
      <c r="T87" s="14"/>
      <c r="U87" s="14"/>
      <c r="V87" s="14"/>
      <c r="W87" s="14"/>
      <c r="X87" s="14"/>
      <c r="Y87" s="14"/>
      <c r="Z87" s="14"/>
      <c r="AA87" s="14"/>
    </row>
    <row r="88" spans="1:27" x14ac:dyDescent="0.35">
      <c r="A88" t="s">
        <v>35</v>
      </c>
      <c r="D88">
        <f t="shared" ref="D88:J88" si="27">IF(D85&lt;37372,1622,IF(D85&lt;37372,1622-0.15*(D85-37372),0))</f>
        <v>1622</v>
      </c>
      <c r="E88">
        <f t="shared" si="27"/>
        <v>1622</v>
      </c>
      <c r="F88">
        <f t="shared" si="27"/>
        <v>1622</v>
      </c>
      <c r="G88">
        <f t="shared" si="27"/>
        <v>1622</v>
      </c>
      <c r="H88">
        <f t="shared" si="27"/>
        <v>0</v>
      </c>
      <c r="I88">
        <f t="shared" si="27"/>
        <v>0</v>
      </c>
      <c r="J88">
        <f t="shared" si="27"/>
        <v>0</v>
      </c>
      <c r="Q88" s="14" t="s">
        <v>119</v>
      </c>
      <c r="R88" s="27">
        <f t="shared" ref="R88:AA88" si="28">B50</f>
        <v>2400</v>
      </c>
      <c r="S88" s="27">
        <f t="shared" si="28"/>
        <v>9500</v>
      </c>
      <c r="T88" s="27">
        <f t="shared" si="28"/>
        <v>14400</v>
      </c>
      <c r="U88" s="27">
        <f t="shared" si="28"/>
        <v>18700</v>
      </c>
      <c r="V88" s="27">
        <f t="shared" si="28"/>
        <v>24700</v>
      </c>
      <c r="W88" s="27">
        <f t="shared" si="28"/>
        <v>31600</v>
      </c>
      <c r="X88" s="27">
        <f t="shared" si="28"/>
        <v>39900</v>
      </c>
      <c r="Y88" s="27">
        <f t="shared" si="28"/>
        <v>49700</v>
      </c>
      <c r="Z88" s="27">
        <f t="shared" si="28"/>
        <v>64500</v>
      </c>
      <c r="AA88" s="27">
        <f t="shared" si="28"/>
        <v>113800</v>
      </c>
    </row>
    <row r="89" spans="1:27" x14ac:dyDescent="0.35">
      <c r="A89" t="s">
        <v>24</v>
      </c>
      <c r="D89" s="4">
        <f t="shared" ref="D89:J89" si="29">IF(D86-D87-D88&lt;0,0,D86-D87-D88)</f>
        <v>926.26480000000038</v>
      </c>
      <c r="E89" s="4">
        <f t="shared" si="29"/>
        <v>1837.0689480000005</v>
      </c>
      <c r="F89" s="4">
        <f t="shared" si="29"/>
        <v>3122.1623880000006</v>
      </c>
      <c r="G89" s="4">
        <f t="shared" si="29"/>
        <v>4856.0022440000002</v>
      </c>
      <c r="H89" s="4">
        <f t="shared" si="29"/>
        <v>9676.0440360000011</v>
      </c>
      <c r="I89" s="4">
        <f t="shared" si="29"/>
        <v>13452.045188</v>
      </c>
      <c r="J89" s="4">
        <f t="shared" si="29"/>
        <v>19154.577540000002</v>
      </c>
      <c r="M89" s="3">
        <f>($B$36/7)*SUM(D89:J89)</f>
        <v>23641733015.140583</v>
      </c>
      <c r="Q89" s="14" t="s">
        <v>82</v>
      </c>
      <c r="R89" s="27">
        <f t="shared" ref="R89:AA89" si="30">B56</f>
        <v>2400</v>
      </c>
      <c r="S89" s="27">
        <f t="shared" si="30"/>
        <v>8929.89</v>
      </c>
      <c r="T89" s="27">
        <f t="shared" si="30"/>
        <v>13302.089480000001</v>
      </c>
      <c r="U89" s="27">
        <f t="shared" si="30"/>
        <v>17234.955480000001</v>
      </c>
      <c r="V89" s="27">
        <f t="shared" si="30"/>
        <v>21608.44512</v>
      </c>
      <c r="W89" s="27">
        <f t="shared" si="30"/>
        <v>25654.19112</v>
      </c>
      <c r="X89" s="27">
        <f t="shared" si="30"/>
        <v>30142.189920000001</v>
      </c>
      <c r="Y89" s="27">
        <f t="shared" si="30"/>
        <v>35138.033920000002</v>
      </c>
      <c r="Z89" s="27">
        <f t="shared" si="30"/>
        <v>42682.77792</v>
      </c>
      <c r="AA89" s="27">
        <f t="shared" si="30"/>
        <v>65792.6005</v>
      </c>
    </row>
    <row r="90" spans="1:27" x14ac:dyDescent="0.35">
      <c r="A90" t="s">
        <v>25</v>
      </c>
      <c r="D90" s="4">
        <f>D85-D89</f>
        <v>19440.135200000001</v>
      </c>
      <c r="E90" s="4">
        <f t="shared" ref="E90:J90" si="31">E85-E89</f>
        <v>22640.131052000001</v>
      </c>
      <c r="F90" s="4">
        <f t="shared" si="31"/>
        <v>27091.037612</v>
      </c>
      <c r="G90" s="4">
        <f t="shared" si="31"/>
        <v>31953.597755999999</v>
      </c>
      <c r="H90" s="4">
        <f t="shared" si="31"/>
        <v>35068.355964000002</v>
      </c>
      <c r="I90" s="4">
        <f t="shared" si="31"/>
        <v>40661.154811999993</v>
      </c>
      <c r="J90" s="4">
        <f t="shared" si="31"/>
        <v>49107.422460000002</v>
      </c>
      <c r="Q90" s="14" t="s">
        <v>80</v>
      </c>
      <c r="R90" s="14"/>
      <c r="S90" s="14"/>
      <c r="T90" s="27">
        <f t="shared" ref="T90:Z90" si="32">D65</f>
        <v>14400</v>
      </c>
      <c r="U90" s="27">
        <f t="shared" si="32"/>
        <v>18097.849999999999</v>
      </c>
      <c r="V90" s="27">
        <f t="shared" si="32"/>
        <v>22813.014940000001</v>
      </c>
      <c r="W90" s="27">
        <f t="shared" si="32"/>
        <v>28167.138940000001</v>
      </c>
      <c r="X90" s="27">
        <f t="shared" si="32"/>
        <v>32176.442940000001</v>
      </c>
      <c r="Y90" s="27">
        <f t="shared" si="32"/>
        <v>38026.65094</v>
      </c>
      <c r="Z90" s="27">
        <f t="shared" si="32"/>
        <v>46861.658940000001</v>
      </c>
      <c r="AA90" s="14"/>
    </row>
    <row r="91" spans="1:27" x14ac:dyDescent="0.35">
      <c r="Q91" s="33" t="s">
        <v>81</v>
      </c>
      <c r="R91" s="33"/>
      <c r="S91" s="33"/>
      <c r="T91" s="33"/>
      <c r="U91" s="33"/>
      <c r="V91" s="33"/>
      <c r="W91" s="33"/>
      <c r="X91" s="33"/>
      <c r="Y91" s="33"/>
      <c r="Z91" s="33"/>
      <c r="AA91" s="33"/>
    </row>
    <row r="92" spans="1:27" x14ac:dyDescent="0.35">
      <c r="A92" t="s">
        <v>32</v>
      </c>
      <c r="M92" s="13">
        <f>SUM(M81:M90)</f>
        <v>148761739245.72772</v>
      </c>
      <c r="Q92" s="34" t="s">
        <v>119</v>
      </c>
      <c r="R92" s="35">
        <f>B116</f>
        <v>3900</v>
      </c>
      <c r="S92" s="35">
        <f t="shared" ref="S92:AA92" si="33">C116</f>
        <v>14745.6</v>
      </c>
      <c r="T92" s="35">
        <f t="shared" si="33"/>
        <v>20366.400000000001</v>
      </c>
      <c r="U92" s="35">
        <f t="shared" si="33"/>
        <v>24477.200000000001</v>
      </c>
      <c r="V92" s="35">
        <f t="shared" si="33"/>
        <v>30213.200000000001</v>
      </c>
      <c r="W92" s="35">
        <f t="shared" si="33"/>
        <v>36809.599999999999</v>
      </c>
      <c r="X92" s="35">
        <f t="shared" si="33"/>
        <v>44744.4</v>
      </c>
      <c r="Y92" s="35">
        <f t="shared" si="33"/>
        <v>54113.2</v>
      </c>
      <c r="Z92" s="35">
        <f t="shared" si="33"/>
        <v>68262</v>
      </c>
      <c r="AA92" s="35">
        <f t="shared" si="33"/>
        <v>115392.8</v>
      </c>
    </row>
    <row r="93" spans="1:27" x14ac:dyDescent="0.35">
      <c r="A93" s="6" t="s">
        <v>36</v>
      </c>
      <c r="M93" s="22">
        <f>M92-M67</f>
        <v>19367961243.134796</v>
      </c>
      <c r="Q93" s="34" t="str">
        <f>Q89</f>
        <v>Besteedbaar inkomen werkenden</v>
      </c>
      <c r="R93" s="35">
        <f>B82</f>
        <v>3900</v>
      </c>
      <c r="S93" s="35">
        <f t="shared" ref="S93:AA93" si="34">C82</f>
        <v>13618.182152000001</v>
      </c>
      <c r="T93" s="35">
        <f t="shared" si="34"/>
        <v>18759.078248000002</v>
      </c>
      <c r="U93" s="35">
        <f t="shared" si="34"/>
        <v>21477.808568</v>
      </c>
      <c r="V93" s="35">
        <f t="shared" si="34"/>
        <v>24841.054808000001</v>
      </c>
      <c r="W93" s="35">
        <f t="shared" si="34"/>
        <v>28566.765808</v>
      </c>
      <c r="X93" s="35">
        <f t="shared" si="34"/>
        <v>32611.768152000001</v>
      </c>
      <c r="Y93" s="35">
        <f t="shared" si="34"/>
        <v>37387.795016000004</v>
      </c>
      <c r="Z93" s="35">
        <f t="shared" si="34"/>
        <v>44600.57028</v>
      </c>
      <c r="AA93" s="35">
        <f t="shared" si="34"/>
        <v>66596.964500000002</v>
      </c>
    </row>
    <row r="94" spans="1:27" x14ac:dyDescent="0.35">
      <c r="Q94" s="34" t="str">
        <f>Q90</f>
        <v>Besteedbaar inkomen gepensioneerden</v>
      </c>
      <c r="R94" s="34"/>
      <c r="S94" s="34"/>
      <c r="T94" s="35">
        <f t="shared" ref="T94:Z94" si="35">D90</f>
        <v>19440.135200000001</v>
      </c>
      <c r="U94" s="35">
        <f t="shared" si="35"/>
        <v>22640.131052000001</v>
      </c>
      <c r="V94" s="35">
        <f t="shared" si="35"/>
        <v>27091.037612</v>
      </c>
      <c r="W94" s="35">
        <f t="shared" si="35"/>
        <v>31953.597755999999</v>
      </c>
      <c r="X94" s="35">
        <f t="shared" si="35"/>
        <v>35068.355964000002</v>
      </c>
      <c r="Y94" s="35">
        <f t="shared" si="35"/>
        <v>40661.154811999993</v>
      </c>
      <c r="Z94" s="35">
        <f t="shared" si="35"/>
        <v>49107.422460000002</v>
      </c>
      <c r="AA94" s="34"/>
    </row>
    <row r="95" spans="1:27" x14ac:dyDescent="0.35">
      <c r="A95" t="s">
        <v>180</v>
      </c>
    </row>
    <row r="96" spans="1:27" x14ac:dyDescent="0.35">
      <c r="A96" t="s">
        <v>38</v>
      </c>
      <c r="B96" s="4">
        <f t="shared" ref="B96:K96" si="36">B82-B56</f>
        <v>1500</v>
      </c>
      <c r="C96" s="4">
        <f t="shared" si="36"/>
        <v>4688.2921520000018</v>
      </c>
      <c r="D96" s="4">
        <f t="shared" si="36"/>
        <v>5456.9887680000011</v>
      </c>
      <c r="E96" s="4">
        <f t="shared" si="36"/>
        <v>4242.8530879999998</v>
      </c>
      <c r="F96" s="4">
        <f t="shared" si="36"/>
        <v>3232.6096880000005</v>
      </c>
      <c r="G96" s="4">
        <f t="shared" si="36"/>
        <v>2912.5746880000006</v>
      </c>
      <c r="H96" s="4">
        <f t="shared" si="36"/>
        <v>2469.5782319999998</v>
      </c>
      <c r="I96" s="4">
        <f t="shared" si="36"/>
        <v>2249.761096000002</v>
      </c>
      <c r="J96" s="4">
        <f t="shared" si="36"/>
        <v>1917.7923599999995</v>
      </c>
      <c r="K96" s="4">
        <f t="shared" si="36"/>
        <v>804.3640000000014</v>
      </c>
    </row>
    <row r="97" spans="1:27" x14ac:dyDescent="0.35">
      <c r="A97" t="s">
        <v>39</v>
      </c>
      <c r="D97" s="4">
        <f t="shared" ref="D97:I97" si="37">D90-D65</f>
        <v>5040.1352000000006</v>
      </c>
      <c r="E97" s="4">
        <f t="shared" si="37"/>
        <v>4542.2810520000021</v>
      </c>
      <c r="F97" s="4">
        <f t="shared" si="37"/>
        <v>4278.0226719999991</v>
      </c>
      <c r="G97" s="4">
        <f t="shared" si="37"/>
        <v>3786.4588159999985</v>
      </c>
      <c r="H97" s="4">
        <f t="shared" si="37"/>
        <v>2891.9130240000013</v>
      </c>
      <c r="I97" s="4">
        <f t="shared" si="37"/>
        <v>2634.5038719999939</v>
      </c>
      <c r="J97" s="4"/>
      <c r="K97" s="4"/>
    </row>
    <row r="99" spans="1:27" x14ac:dyDescent="0.35">
      <c r="A99" t="s">
        <v>40</v>
      </c>
    </row>
    <row r="100" spans="1:27" x14ac:dyDescent="0.35">
      <c r="A100" t="s">
        <v>38</v>
      </c>
      <c r="B100" s="4">
        <f t="shared" ref="B100:K100" si="38">B81-B55</f>
        <v>0</v>
      </c>
      <c r="C100" s="4">
        <f t="shared" si="38"/>
        <v>557.30784800000004</v>
      </c>
      <c r="D100" s="4">
        <f t="shared" si="38"/>
        <v>509.41123200000015</v>
      </c>
      <c r="E100" s="4">
        <f t="shared" si="38"/>
        <v>1534.3469120000009</v>
      </c>
      <c r="F100" s="4">
        <f t="shared" si="38"/>
        <v>2280.5903119999989</v>
      </c>
      <c r="G100" s="4">
        <f t="shared" si="38"/>
        <v>2297.0253119999979</v>
      </c>
      <c r="H100" s="4">
        <f t="shared" si="38"/>
        <v>2374.8217680000016</v>
      </c>
      <c r="I100" s="4">
        <f t="shared" si="38"/>
        <v>2163.4389039999969</v>
      </c>
      <c r="J100" s="4">
        <f t="shared" si="38"/>
        <v>1844.2076400000005</v>
      </c>
      <c r="K100" s="4">
        <f t="shared" si="38"/>
        <v>788.43600000000151</v>
      </c>
      <c r="Q100" t="s">
        <v>125</v>
      </c>
    </row>
    <row r="101" spans="1:27" x14ac:dyDescent="0.35">
      <c r="A101" t="s">
        <v>39</v>
      </c>
      <c r="D101" s="4">
        <f t="shared" ref="D101:I101" si="39">D89-D64</f>
        <v>926.26480000000038</v>
      </c>
      <c r="E101" s="4">
        <f t="shared" si="39"/>
        <v>1234.9189480000005</v>
      </c>
      <c r="F101" s="4">
        <f t="shared" si="39"/>
        <v>1235.1773280000002</v>
      </c>
      <c r="G101" s="4">
        <f t="shared" si="39"/>
        <v>1423.141184000001</v>
      </c>
      <c r="H101" s="4">
        <f t="shared" si="39"/>
        <v>1952.4869760000011</v>
      </c>
      <c r="I101" s="4">
        <f t="shared" si="39"/>
        <v>1778.6961280000014</v>
      </c>
      <c r="Q101" s="6" t="s">
        <v>19</v>
      </c>
      <c r="R101" s="6">
        <v>1</v>
      </c>
      <c r="S101" s="6">
        <v>2</v>
      </c>
      <c r="T101" s="6">
        <v>3</v>
      </c>
      <c r="U101" s="6">
        <v>4</v>
      </c>
      <c r="V101" s="6">
        <v>5</v>
      </c>
      <c r="W101" s="6">
        <v>6</v>
      </c>
      <c r="X101" s="6">
        <v>7</v>
      </c>
      <c r="Y101" s="6">
        <v>8</v>
      </c>
      <c r="Z101" s="6">
        <v>9</v>
      </c>
      <c r="AA101" s="6">
        <v>10</v>
      </c>
    </row>
    <row r="102" spans="1:27" x14ac:dyDescent="0.35">
      <c r="A102" s="8" t="s">
        <v>42</v>
      </c>
      <c r="Q102" s="31" t="s">
        <v>121</v>
      </c>
      <c r="R102" s="6"/>
      <c r="S102" s="6"/>
      <c r="T102" s="6"/>
      <c r="U102" s="6"/>
      <c r="V102" s="6"/>
      <c r="W102" s="6"/>
      <c r="X102" s="6"/>
      <c r="Y102" s="6"/>
      <c r="Z102" s="6"/>
      <c r="AA102" s="6"/>
    </row>
    <row r="103" spans="1:27" x14ac:dyDescent="0.35">
      <c r="A103" s="8" t="s">
        <v>43</v>
      </c>
      <c r="Q103" s="6" t="s">
        <v>119</v>
      </c>
      <c r="R103" s="32">
        <f t="shared" ref="R103:AA103" si="40">B50</f>
        <v>2400</v>
      </c>
      <c r="S103" s="32">
        <f t="shared" si="40"/>
        <v>9500</v>
      </c>
      <c r="T103" s="32">
        <f t="shared" si="40"/>
        <v>14400</v>
      </c>
      <c r="U103" s="32">
        <f t="shared" si="40"/>
        <v>18700</v>
      </c>
      <c r="V103" s="32">
        <f t="shared" si="40"/>
        <v>24700</v>
      </c>
      <c r="W103" s="32">
        <f t="shared" si="40"/>
        <v>31600</v>
      </c>
      <c r="X103" s="32">
        <f t="shared" si="40"/>
        <v>39900</v>
      </c>
      <c r="Y103" s="32">
        <f t="shared" si="40"/>
        <v>49700</v>
      </c>
      <c r="Z103" s="32">
        <f t="shared" si="40"/>
        <v>64500</v>
      </c>
      <c r="AA103" s="32">
        <f t="shared" si="40"/>
        <v>113800</v>
      </c>
    </row>
    <row r="104" spans="1:27" x14ac:dyDescent="0.35">
      <c r="A104" s="8" t="s">
        <v>45</v>
      </c>
      <c r="Q104" s="6" t="s">
        <v>82</v>
      </c>
      <c r="R104" s="32">
        <f t="shared" ref="R104:AA104" si="41">B56</f>
        <v>2400</v>
      </c>
      <c r="S104" s="32">
        <f t="shared" si="41"/>
        <v>8929.89</v>
      </c>
      <c r="T104" s="32">
        <f t="shared" si="41"/>
        <v>13302.089480000001</v>
      </c>
      <c r="U104" s="32">
        <f t="shared" si="41"/>
        <v>17234.955480000001</v>
      </c>
      <c r="V104" s="32">
        <f t="shared" si="41"/>
        <v>21608.44512</v>
      </c>
      <c r="W104" s="32">
        <f t="shared" si="41"/>
        <v>25654.19112</v>
      </c>
      <c r="X104" s="32">
        <f t="shared" si="41"/>
        <v>30142.189920000001</v>
      </c>
      <c r="Y104" s="32">
        <f t="shared" si="41"/>
        <v>35138.033920000002</v>
      </c>
      <c r="Z104" s="32">
        <f t="shared" si="41"/>
        <v>42682.77792</v>
      </c>
      <c r="AA104" s="32">
        <f t="shared" si="41"/>
        <v>65792.6005</v>
      </c>
    </row>
    <row r="105" spans="1:27" x14ac:dyDescent="0.35">
      <c r="A105" s="8" t="s">
        <v>44</v>
      </c>
      <c r="Q105" s="6" t="s">
        <v>80</v>
      </c>
      <c r="R105" s="6" t="s">
        <v>123</v>
      </c>
      <c r="S105" s="6" t="s">
        <v>123</v>
      </c>
      <c r="T105" s="32">
        <f>D65</f>
        <v>14400</v>
      </c>
      <c r="U105" s="32">
        <f t="shared" ref="U105:Z105" si="42">E65</f>
        <v>18097.849999999999</v>
      </c>
      <c r="V105" s="32">
        <f t="shared" si="42"/>
        <v>22813.014940000001</v>
      </c>
      <c r="W105" s="32">
        <f t="shared" si="42"/>
        <v>28167.138940000001</v>
      </c>
      <c r="X105" s="32">
        <f t="shared" si="42"/>
        <v>32176.442940000001</v>
      </c>
      <c r="Y105" s="32">
        <f t="shared" si="42"/>
        <v>38026.65094</v>
      </c>
      <c r="Z105" s="32">
        <f t="shared" si="42"/>
        <v>46861.658940000001</v>
      </c>
      <c r="AA105" s="32" t="s">
        <v>123</v>
      </c>
    </row>
    <row r="106" spans="1:27" x14ac:dyDescent="0.35">
      <c r="A106" s="8" t="s">
        <v>104</v>
      </c>
      <c r="Q106" s="28" t="s">
        <v>122</v>
      </c>
      <c r="R106" s="29"/>
      <c r="S106" s="29"/>
      <c r="T106" s="29"/>
      <c r="U106" s="29"/>
      <c r="V106" s="29"/>
      <c r="W106" s="29"/>
      <c r="X106" s="29"/>
      <c r="Y106" s="29"/>
      <c r="Z106" s="29"/>
      <c r="AA106" s="29" t="s">
        <v>123</v>
      </c>
    </row>
    <row r="107" spans="1:27" x14ac:dyDescent="0.35">
      <c r="A107" s="8"/>
      <c r="Q107" s="29" t="s">
        <v>119</v>
      </c>
      <c r="R107" s="30">
        <f t="shared" ref="R107:AA107" si="43">B116</f>
        <v>3900</v>
      </c>
      <c r="S107" s="30">
        <f t="shared" si="43"/>
        <v>14745.6</v>
      </c>
      <c r="T107" s="30">
        <f t="shared" si="43"/>
        <v>20366.400000000001</v>
      </c>
      <c r="U107" s="30">
        <f t="shared" si="43"/>
        <v>24477.200000000001</v>
      </c>
      <c r="V107" s="30">
        <f t="shared" si="43"/>
        <v>30213.200000000001</v>
      </c>
      <c r="W107" s="30">
        <f t="shared" si="43"/>
        <v>36809.599999999999</v>
      </c>
      <c r="X107" s="30">
        <f t="shared" si="43"/>
        <v>44744.4</v>
      </c>
      <c r="Y107" s="30">
        <f t="shared" si="43"/>
        <v>54113.2</v>
      </c>
      <c r="Z107" s="30">
        <f t="shared" si="43"/>
        <v>68262</v>
      </c>
      <c r="AA107" s="30">
        <f t="shared" si="43"/>
        <v>115392.8</v>
      </c>
    </row>
    <row r="108" spans="1:27" x14ac:dyDescent="0.35">
      <c r="A108" s="1" t="s">
        <v>46</v>
      </c>
      <c r="Q108" s="29" t="s">
        <v>82</v>
      </c>
      <c r="R108" s="30">
        <f t="shared" ref="R108:AA108" si="44">B121</f>
        <v>3900</v>
      </c>
      <c r="S108" s="30">
        <f t="shared" si="44"/>
        <v>13973.184000000001</v>
      </c>
      <c r="T108" s="30">
        <f t="shared" si="44"/>
        <v>17570.495999999999</v>
      </c>
      <c r="U108" s="30">
        <f t="shared" si="44"/>
        <v>20201.407999999999</v>
      </c>
      <c r="V108" s="30">
        <f t="shared" si="44"/>
        <v>23663.919999999998</v>
      </c>
      <c r="W108" s="30">
        <f t="shared" si="44"/>
        <v>27621.759999999998</v>
      </c>
      <c r="X108" s="30">
        <f t="shared" si="44"/>
        <v>31608.2</v>
      </c>
      <c r="Y108" s="30">
        <f t="shared" si="44"/>
        <v>36292.6</v>
      </c>
      <c r="Z108" s="30">
        <f t="shared" si="44"/>
        <v>42714.6</v>
      </c>
      <c r="AA108" s="30">
        <f t="shared" si="44"/>
        <v>56853.840000000004</v>
      </c>
    </row>
    <row r="109" spans="1:27" x14ac:dyDescent="0.35">
      <c r="A109" s="9" t="s">
        <v>47</v>
      </c>
      <c r="Q109" s="29" t="s">
        <v>80</v>
      </c>
      <c r="R109" s="29" t="s">
        <v>123</v>
      </c>
      <c r="S109" s="29" t="s">
        <v>123</v>
      </c>
      <c r="T109" s="30">
        <f>D126</f>
        <v>17570.495999999999</v>
      </c>
      <c r="U109" s="30">
        <f t="shared" ref="U109:Z109" si="45">E126</f>
        <v>20201.407999999999</v>
      </c>
      <c r="V109" s="30">
        <f t="shared" si="45"/>
        <v>23663.919999999998</v>
      </c>
      <c r="W109" s="30">
        <f t="shared" si="45"/>
        <v>27621.759999999998</v>
      </c>
      <c r="X109" s="30">
        <f t="shared" si="45"/>
        <v>31608.2</v>
      </c>
      <c r="Y109" s="30">
        <f t="shared" si="45"/>
        <v>36292.6</v>
      </c>
      <c r="Z109" s="30">
        <f t="shared" si="45"/>
        <v>42714.6</v>
      </c>
      <c r="AA109" s="30" t="s">
        <v>123</v>
      </c>
    </row>
    <row r="110" spans="1:27" x14ac:dyDescent="0.35">
      <c r="A110" t="s">
        <v>48</v>
      </c>
      <c r="C110">
        <v>12600</v>
      </c>
      <c r="E110">
        <v>25000</v>
      </c>
      <c r="G110">
        <v>37000</v>
      </c>
      <c r="I110">
        <v>65000</v>
      </c>
    </row>
    <row r="111" spans="1:27" x14ac:dyDescent="0.35">
      <c r="A111" t="s">
        <v>49</v>
      </c>
      <c r="B111" s="10">
        <v>0</v>
      </c>
      <c r="D111" s="11">
        <v>0.36</v>
      </c>
      <c r="F111" s="11">
        <v>0.4</v>
      </c>
      <c r="H111" s="11">
        <v>0.5</v>
      </c>
      <c r="J111" s="11">
        <v>0.7</v>
      </c>
    </row>
    <row r="112" spans="1:27" x14ac:dyDescent="0.35">
      <c r="A112" t="s">
        <v>66</v>
      </c>
      <c r="C112" s="4">
        <f>C110*B111</f>
        <v>0</v>
      </c>
      <c r="D112" s="4"/>
      <c r="E112" s="4">
        <f>(E110-C110)*D111+C112</f>
        <v>4464</v>
      </c>
      <c r="G112" s="4">
        <f>E112+(G110-E110)*F111</f>
        <v>9264</v>
      </c>
      <c r="I112" s="4">
        <f>G112+(I110-G110)*H111</f>
        <v>23264</v>
      </c>
    </row>
    <row r="113" spans="1:14" x14ac:dyDescent="0.35">
      <c r="C113" s="4"/>
      <c r="D113" s="4"/>
      <c r="E113" s="4"/>
      <c r="G113" s="4"/>
      <c r="I113" s="4"/>
    </row>
    <row r="114" spans="1:14" x14ac:dyDescent="0.35">
      <c r="A114" t="s">
        <v>22</v>
      </c>
    </row>
    <row r="115" spans="1:14" x14ac:dyDescent="0.35">
      <c r="A115" t="s">
        <v>19</v>
      </c>
      <c r="B115">
        <v>1</v>
      </c>
      <c r="C115">
        <v>2</v>
      </c>
      <c r="D115">
        <v>3</v>
      </c>
      <c r="E115">
        <v>4</v>
      </c>
      <c r="F115">
        <v>5</v>
      </c>
      <c r="G115">
        <v>6</v>
      </c>
      <c r="H115">
        <v>7</v>
      </c>
      <c r="I115">
        <v>8</v>
      </c>
      <c r="J115">
        <v>9</v>
      </c>
      <c r="K115">
        <v>10</v>
      </c>
    </row>
    <row r="116" spans="1:14" x14ac:dyDescent="0.35">
      <c r="A116" t="str">
        <f t="shared" ref="A116:K116" si="46">A76</f>
        <v>Midden deciel + Basisinkomen dyn</v>
      </c>
      <c r="B116" s="4">
        <f t="shared" si="46"/>
        <v>3900</v>
      </c>
      <c r="C116" s="4">
        <f t="shared" si="46"/>
        <v>14745.6</v>
      </c>
      <c r="D116" s="4">
        <f t="shared" si="46"/>
        <v>20366.400000000001</v>
      </c>
      <c r="E116" s="4">
        <f t="shared" si="46"/>
        <v>24477.200000000001</v>
      </c>
      <c r="F116" s="4">
        <f t="shared" si="46"/>
        <v>30213.200000000001</v>
      </c>
      <c r="G116" s="4">
        <f t="shared" si="46"/>
        <v>36809.599999999999</v>
      </c>
      <c r="H116" s="4">
        <f>H76</f>
        <v>44744.4</v>
      </c>
      <c r="I116" s="4">
        <f t="shared" si="46"/>
        <v>54113.2</v>
      </c>
      <c r="J116" s="4">
        <f t="shared" si="46"/>
        <v>68262</v>
      </c>
      <c r="K116" s="4">
        <f t="shared" si="46"/>
        <v>115392.8</v>
      </c>
    </row>
    <row r="117" spans="1:14" x14ac:dyDescent="0.35">
      <c r="A117" t="s">
        <v>50</v>
      </c>
      <c r="B117" s="4">
        <f>IF(B116&lt;C110,B111*B116,IF(B116&lt;E110,(B116-C110)*D111+C110*B111,IF(B116&lt;G110,(B116-E110)*F111+(E110-C110)*D111+C110*B111,IF(B116&lt;I110,(B116-G110)*H111+(G110-E110)*F111+(E110-C110)*D111+C110*B111,(B116-I110)*J111+(I110-G110)*H111+(G110-E110)*F111+(E110-C110)*D111+C110*B111))))</f>
        <v>0</v>
      </c>
      <c r="C117" s="4">
        <f t="shared" ref="C117:K117" si="47">IF(C116&lt;$C$110,$B$111*C116,IF(C116&lt;$E$110,(C116-$C$110)*$D$111+$C$110*$B$111,IF(C116&lt;$G$110,(C116-$E$110)*$F$111+($E$110-$C$110)*$D$111+$C$110*$B$111,IF(C116&lt;$I$110,(C116-$G$110)*$H$111+($G$110-$E$110)*$F$111+($E$110-$C$110)*$D$111+$C$110*$B$111,(C116-$I$110)*$J$111+($I$110-$G$110)*$H$111+($G$110-$E$110)*$F$111+($E$110-$C$110)*$D$111+$C$110*$B$111))))</f>
        <v>772.41600000000005</v>
      </c>
      <c r="D117" s="4">
        <f t="shared" si="47"/>
        <v>2795.9040000000005</v>
      </c>
      <c r="E117" s="4">
        <f t="shared" si="47"/>
        <v>4275.7920000000004</v>
      </c>
      <c r="F117" s="4">
        <f t="shared" si="47"/>
        <v>6549.2800000000007</v>
      </c>
      <c r="G117" s="4">
        <f t="shared" si="47"/>
        <v>9187.84</v>
      </c>
      <c r="H117" s="4">
        <f t="shared" si="47"/>
        <v>13136.2</v>
      </c>
      <c r="I117" s="4">
        <f t="shared" si="47"/>
        <v>17820.599999999999</v>
      </c>
      <c r="J117" s="4">
        <f t="shared" si="47"/>
        <v>25547.4</v>
      </c>
      <c r="K117" s="4">
        <f t="shared" si="47"/>
        <v>58538.96</v>
      </c>
      <c r="M117" s="3">
        <f>($B$37/10)*SUM(B117:K117)</f>
        <v>143743166986.79599</v>
      </c>
      <c r="N117" s="3"/>
    </row>
    <row r="118" spans="1:14" x14ac:dyDescent="0.35">
      <c r="A118" t="s">
        <v>126</v>
      </c>
      <c r="B118" s="4"/>
      <c r="C118" s="4"/>
      <c r="D118" s="4">
        <f>C112+(D116-C110)*0.25</f>
        <v>1941.6000000000004</v>
      </c>
      <c r="E118" s="4"/>
      <c r="F118" s="4"/>
      <c r="G118" s="4"/>
      <c r="H118" s="4">
        <f>IF(H116&lt;I110,G112+(H116-G110)*H111)</f>
        <v>13136.2</v>
      </c>
      <c r="I118" s="4"/>
      <c r="J118" s="4"/>
      <c r="K118" s="4">
        <f>(I112+(K116-I110)*J111)</f>
        <v>58538.96</v>
      </c>
      <c r="M118" s="3"/>
      <c r="N118" s="3"/>
    </row>
    <row r="119" spans="1:14" x14ac:dyDescent="0.35">
      <c r="A119" t="s">
        <v>51</v>
      </c>
      <c r="B119" s="4"/>
      <c r="C119" s="4"/>
      <c r="D119" s="4"/>
      <c r="E119" s="4"/>
      <c r="F119" s="4"/>
      <c r="G119" s="4"/>
      <c r="H119" s="4"/>
      <c r="I119" s="4"/>
      <c r="J119" s="4"/>
      <c r="K119" s="4"/>
    </row>
    <row r="120" spans="1:14" x14ac:dyDescent="0.35">
      <c r="A120" t="s">
        <v>53</v>
      </c>
      <c r="B120" s="4">
        <f>B117-B119</f>
        <v>0</v>
      </c>
      <c r="C120" s="4">
        <f t="shared" ref="C120:K120" si="48">C117-C119</f>
        <v>772.41600000000005</v>
      </c>
      <c r="D120" s="4">
        <f t="shared" si="48"/>
        <v>2795.9040000000005</v>
      </c>
      <c r="E120" s="4">
        <f t="shared" si="48"/>
        <v>4275.7920000000004</v>
      </c>
      <c r="F120" s="4">
        <f t="shared" si="48"/>
        <v>6549.2800000000007</v>
      </c>
      <c r="G120" s="4">
        <f t="shared" si="48"/>
        <v>9187.84</v>
      </c>
      <c r="H120" s="4">
        <f t="shared" si="48"/>
        <v>13136.2</v>
      </c>
      <c r="I120" s="4">
        <f t="shared" si="48"/>
        <v>17820.599999999999</v>
      </c>
      <c r="J120" s="4">
        <f t="shared" si="48"/>
        <v>25547.4</v>
      </c>
      <c r="K120" s="4">
        <f t="shared" si="48"/>
        <v>58538.96</v>
      </c>
    </row>
    <row r="121" spans="1:14" x14ac:dyDescent="0.35">
      <c r="A121" t="s">
        <v>52</v>
      </c>
      <c r="B121" s="4">
        <f>B116-B120</f>
        <v>3900</v>
      </c>
      <c r="C121" s="4">
        <f t="shared" ref="C121:K121" si="49">C116-C120</f>
        <v>13973.184000000001</v>
      </c>
      <c r="D121" s="4">
        <f t="shared" si="49"/>
        <v>17570.495999999999</v>
      </c>
      <c r="E121" s="4">
        <f t="shared" si="49"/>
        <v>20201.407999999999</v>
      </c>
      <c r="F121" s="4">
        <f t="shared" si="49"/>
        <v>23663.919999999998</v>
      </c>
      <c r="G121" s="4">
        <f t="shared" si="49"/>
        <v>27621.759999999998</v>
      </c>
      <c r="H121" s="4">
        <f t="shared" si="49"/>
        <v>31608.2</v>
      </c>
      <c r="I121" s="4">
        <f t="shared" si="49"/>
        <v>36292.6</v>
      </c>
      <c r="J121" s="4">
        <f t="shared" si="49"/>
        <v>42714.6</v>
      </c>
      <c r="K121" s="4">
        <f t="shared" si="49"/>
        <v>56853.840000000004</v>
      </c>
      <c r="L121" s="4"/>
    </row>
    <row r="122" spans="1:14" x14ac:dyDescent="0.35">
      <c r="C122" s="4"/>
      <c r="D122" s="4"/>
      <c r="E122" s="4"/>
      <c r="F122" s="4"/>
      <c r="G122" s="4"/>
      <c r="H122" s="4"/>
      <c r="I122" s="4"/>
      <c r="J122" s="4"/>
      <c r="K122" s="4"/>
    </row>
    <row r="123" spans="1:14" x14ac:dyDescent="0.35">
      <c r="A123" t="s">
        <v>61</v>
      </c>
    </row>
    <row r="124" spans="1:14" x14ac:dyDescent="0.35">
      <c r="A124" t="s">
        <v>60</v>
      </c>
      <c r="D124" s="4">
        <f t="shared" ref="D124:J124" si="50">D85</f>
        <v>20366.400000000001</v>
      </c>
      <c r="E124" s="4">
        <f t="shared" si="50"/>
        <v>24477.200000000001</v>
      </c>
      <c r="F124" s="4">
        <f t="shared" si="50"/>
        <v>30213.200000000001</v>
      </c>
      <c r="G124" s="4">
        <f t="shared" si="50"/>
        <v>36809.599999999999</v>
      </c>
      <c r="H124" s="4">
        <f t="shared" si="50"/>
        <v>44744.4</v>
      </c>
      <c r="I124" s="4">
        <f t="shared" si="50"/>
        <v>54113.2</v>
      </c>
      <c r="J124" s="4">
        <f t="shared" si="50"/>
        <v>68262</v>
      </c>
    </row>
    <row r="125" spans="1:14" x14ac:dyDescent="0.35">
      <c r="A125" t="s">
        <v>50</v>
      </c>
      <c r="D125" s="4">
        <f>IF(D124&lt;$C$110,$B$111*D124,IF(D124&lt;$E$110,(D124-$C$110)*$D$111+$C$110*$B$111,IF(D124&lt;$G$110,(D124-$E$110)*$F$111+($E$110-$C$110)*$D$111+$C$110*$B$111,IF(D124&lt;$I$110,(D124-$G$110)*$H$111+($G$110-$E$110)*$F$111+($E$110-$C$110)*$D$111+$C$110*$B$111,(D124-$I$110)*$J$111+(D117-B117)*C119+($G$110-$E$110)*$F$111+($E$110-$C$110)*$D$111+$C$110*$B$111))))</f>
        <v>2795.9040000000005</v>
      </c>
      <c r="E125" s="4">
        <f>IF(E124&lt;$C$110,$B$111*E124,IF(E124&lt;$E$110,(E124-$C$110)*$D$111+$C$110*$B$111,IF(E124&lt;$G$110,(E124-$E$110)*$F$111+($E$110-$C$110)*$D$111+$C$110*$B$111,IF(E124&lt;$I$110,(E124-$G$110)*$H$111+($G$110-$E$110)*$F$111+($E$110-$C$110)*$D$111+$C$110*$B$111,(E124-$I$110)*$J$111+(E117-C117)*D119+($G$110-$E$110)*$F$111+($E$110-$C$110)*$D$111+$C$110*$B$111))))</f>
        <v>4275.7920000000004</v>
      </c>
      <c r="F125" s="4">
        <f>IF(F124&lt;$C$110,$B$111*F124,IF(F124&lt;$E$110,(F124-$C$110)*$D$111+$C$110*$B$111,IF(F124&lt;$G$110,(F124-$E$110)*$F$111+($E$110-$C$110)*$D$111+$C$110*$B$111,IF(F124&lt;$I$110,(F124-$G$110)*$H$111+($G$110-$E$110)*$F$111+($E$110-$C$110)*$D$111+$C$110*$B$111,(F124-$I$110)*$J$111+(F117-D117)*E119+($G$110-$E$110)*$F$111+($E$110-$C$110)*$D$111+$C$110*$B$111))))</f>
        <v>6549.2800000000007</v>
      </c>
      <c r="G125" s="4">
        <f>IF(G124&lt;$C$110,$B$111*G124,IF(G124&lt;$E$110,(G124-$C$110)*$D$111+$C$110*$B$111,IF(G124&lt;$G$110,(G124-$E$110)*$F$111+($E$110-$C$110)*$D$111+$C$110*$B$111,IF(G124&lt;$I$110,(G124-$G$110)*$H$111+($G$110-$E$110)*$F$111+($E$110-$C$110)*$D$111+$C$110*$B$111,(G124-$I$110)*$J$111+(G117-E117)*F119+($G$110-$E$110)*$F$111+($E$110-$C$110)*$D$111+$C$110*$B$111))))</f>
        <v>9187.84</v>
      </c>
      <c r="H125" s="4">
        <f>IF(H124&lt;$C$110,$B$111*H124,IF(H124&lt;$E$110,(H124-$C$110)*$D$111+$C$110*$B$111,IF(H124&lt;$G$110,(H124-$E$110)*$F$111+($E$110-$C$110)*$D$111+$C$110*$B$111,IF(H124&lt;$I$110,(H124-$G$110)*$H$111+($G$110-$E$110)*$F$111+($E$110-$C$110)*$D$111+$C$110*$B$111,(H124-$I$110)*$J$111+(H117-F117)*G119+($G$110-$E$110)*$F$111+($E$110-$C$110)*$D$111+$C$110*$B$111))))</f>
        <v>13136.2</v>
      </c>
      <c r="I125" s="4">
        <f>IF(I124&lt;$C$110,$B$111*I124,IF(I124&lt;$E$110,(I124-$C$110)*$D$111+$C$110*$B$111,IF(I124&lt;$G$110,(I124-$E$110)*$F$111+($E$110-$C$110)*$D$111+$C$110*$B$111,IF(I124&lt;$I$110,(I124-$G$110)*$H$111+($G$110-$E$110)*$F$111+($E$110-$C$110)*$D$111+$C$110*$B$111,(I124-$I$110)*$J$111+($I$110-$G$110)*$H$111+($G$110-$E$110)*$F$111+($E$110-$C$110)*$D$111+$C$110*$B$111))))</f>
        <v>17820.599999999999</v>
      </c>
      <c r="J125" s="4">
        <f>IF(J124&lt;$C$110,$B$111*J124,IF(J124&lt;$E$110,(J124-$C$110)*$D$111+$C$110*$B$111,IF(J124&lt;$G$110,(J124-$E$110)*$F$111+($E$110-$C$110)*$D$111+$C$110*$B$111,IF(J124&lt;$I$110,(J124-$G$110)*$H$111+($G$110-$E$110)*$F$111+($E$110-$C$110)*$D$111+$C$110*$B$111,(J124-$I$110)*$J$111+($I$110-$G$110)*$H$111+($G$110-$E$110)*$F$111+($E$110-$C$110)*$D$111+$C$110*$B$111))))</f>
        <v>25547.4</v>
      </c>
      <c r="M125" s="3">
        <f>($B$36/7)*SUM(D125:J125)</f>
        <v>35363067835.302856</v>
      </c>
      <c r="N125" s="3"/>
    </row>
    <row r="126" spans="1:14" x14ac:dyDescent="0.35">
      <c r="A126" t="s">
        <v>52</v>
      </c>
      <c r="D126" s="4">
        <f>D124-D125</f>
        <v>17570.495999999999</v>
      </c>
      <c r="E126" s="4">
        <f t="shared" ref="E126:J126" si="51">E124-E125</f>
        <v>20201.407999999999</v>
      </c>
      <c r="F126" s="4">
        <f t="shared" si="51"/>
        <v>23663.919999999998</v>
      </c>
      <c r="G126" s="4">
        <f t="shared" si="51"/>
        <v>27621.759999999998</v>
      </c>
      <c r="H126" s="4">
        <f t="shared" si="51"/>
        <v>31608.2</v>
      </c>
      <c r="I126" s="4">
        <f t="shared" si="51"/>
        <v>36292.6</v>
      </c>
      <c r="J126" s="4">
        <f t="shared" si="51"/>
        <v>42714.6</v>
      </c>
    </row>
    <row r="127" spans="1:14" x14ac:dyDescent="0.35">
      <c r="A127" t="s">
        <v>62</v>
      </c>
      <c r="I127" s="4"/>
      <c r="M127" s="13">
        <f>M117+M125</f>
        <v>179106234822.09885</v>
      </c>
    </row>
    <row r="128" spans="1:14" s="14" customFormat="1" x14ac:dyDescent="0.35">
      <c r="A128" s="21" t="s">
        <v>71</v>
      </c>
      <c r="L128" s="12"/>
      <c r="M128" s="20">
        <f>M127-M67</f>
        <v>49712456819.50592</v>
      </c>
    </row>
    <row r="129" spans="1:16" s="14" customFormat="1" x14ac:dyDescent="0.35">
      <c r="A129" s="21"/>
      <c r="L129" s="12"/>
      <c r="M129" s="20"/>
    </row>
    <row r="130" spans="1:16" x14ac:dyDescent="0.35">
      <c r="A130" s="41" t="s">
        <v>140</v>
      </c>
      <c r="B130" s="41"/>
      <c r="C130" s="41"/>
      <c r="D130" s="41"/>
      <c r="E130" s="41"/>
      <c r="F130" s="41"/>
      <c r="G130" s="41"/>
      <c r="H130" s="41"/>
      <c r="I130" s="41"/>
      <c r="J130" s="41"/>
      <c r="K130" s="41"/>
      <c r="L130" s="41"/>
    </row>
    <row r="131" spans="1:16" ht="15" thickBot="1" x14ac:dyDescent="0.4">
      <c r="A131" s="41" t="s">
        <v>137</v>
      </c>
      <c r="B131" s="41"/>
      <c r="C131" s="41"/>
      <c r="D131" s="41"/>
      <c r="E131" s="41"/>
      <c r="F131" s="41"/>
      <c r="G131" s="41"/>
      <c r="H131" s="41"/>
      <c r="I131" s="41"/>
      <c r="J131" s="41"/>
      <c r="K131" s="41"/>
      <c r="L131" s="40">
        <f>N45</f>
        <v>69822558423.000015</v>
      </c>
    </row>
    <row r="132" spans="1:16" ht="15" thickBot="1" x14ac:dyDescent="0.4">
      <c r="A132" s="41" t="s">
        <v>186</v>
      </c>
      <c r="B132" s="41"/>
      <c r="C132" s="41"/>
      <c r="D132" s="41"/>
      <c r="E132" s="41"/>
      <c r="F132" s="41"/>
      <c r="G132" s="41"/>
      <c r="H132" s="41"/>
      <c r="I132" s="41"/>
      <c r="J132" s="41"/>
      <c r="K132" s="41"/>
      <c r="L132" s="40">
        <f>M128</f>
        <v>49712456819.50592</v>
      </c>
      <c r="N132" s="78"/>
      <c r="O132" s="79" t="s">
        <v>228</v>
      </c>
      <c r="P132" s="80" t="s">
        <v>229</v>
      </c>
    </row>
    <row r="133" spans="1:16" x14ac:dyDescent="0.35">
      <c r="A133" s="41" t="s">
        <v>218</v>
      </c>
      <c r="B133" s="41"/>
      <c r="C133" s="41"/>
      <c r="D133" s="41"/>
      <c r="E133" s="41"/>
      <c r="F133" s="41"/>
      <c r="G133" s="41"/>
      <c r="H133" s="41"/>
      <c r="I133" s="41"/>
      <c r="J133" s="41"/>
      <c r="K133" s="41"/>
      <c r="L133" s="40">
        <f>M34</f>
        <v>19402000000</v>
      </c>
      <c r="N133" s="75" t="s">
        <v>221</v>
      </c>
      <c r="O133" s="76" t="s">
        <v>226</v>
      </c>
      <c r="P133" s="77">
        <f>B112</f>
        <v>0</v>
      </c>
    </row>
    <row r="134" spans="1:16" x14ac:dyDescent="0.35">
      <c r="A134" s="41" t="s">
        <v>205</v>
      </c>
      <c r="B134" s="41"/>
      <c r="C134" s="41"/>
      <c r="D134" s="41"/>
      <c r="E134" s="41"/>
      <c r="F134" s="41"/>
      <c r="G134" s="41"/>
      <c r="H134" s="41"/>
      <c r="I134" s="41"/>
      <c r="J134" s="41"/>
      <c r="K134" s="41"/>
      <c r="L134" s="40">
        <f>L131-L132-L133</f>
        <v>708101603.49409485</v>
      </c>
      <c r="N134" s="69" t="s">
        <v>224</v>
      </c>
      <c r="O134" s="70" t="s">
        <v>273</v>
      </c>
      <c r="P134" s="71">
        <f>D111</f>
        <v>0.36</v>
      </c>
    </row>
    <row r="135" spans="1:16" x14ac:dyDescent="0.35">
      <c r="N135" s="69" t="s">
        <v>225</v>
      </c>
      <c r="O135" s="70" t="s">
        <v>274</v>
      </c>
      <c r="P135" s="71">
        <f>F111</f>
        <v>0.4</v>
      </c>
    </row>
    <row r="136" spans="1:16" x14ac:dyDescent="0.35">
      <c r="N136" s="69" t="s">
        <v>222</v>
      </c>
      <c r="O136" s="70" t="s">
        <v>275</v>
      </c>
      <c r="P136" s="71">
        <f>H111</f>
        <v>0.5</v>
      </c>
    </row>
    <row r="137" spans="1:16" ht="15" thickBot="1" x14ac:dyDescent="0.4">
      <c r="A137" t="s">
        <v>109</v>
      </c>
      <c r="B137" s="23">
        <f t="shared" ref="B137:K137" si="52">B120/B116</f>
        <v>0</v>
      </c>
      <c r="C137" s="23">
        <f t="shared" si="52"/>
        <v>5.2382812500000001E-2</v>
      </c>
      <c r="D137" s="23">
        <f t="shared" si="52"/>
        <v>0.13728022625500827</v>
      </c>
      <c r="E137" s="23">
        <f t="shared" si="52"/>
        <v>0.17468468615691338</v>
      </c>
      <c r="F137" s="23">
        <f t="shared" si="52"/>
        <v>0.21676882951822385</v>
      </c>
      <c r="G137" s="23">
        <f t="shared" si="52"/>
        <v>0.24960445101277928</v>
      </c>
      <c r="H137" s="23">
        <f t="shared" si="52"/>
        <v>0.29358310760676198</v>
      </c>
      <c r="I137" s="23">
        <f t="shared" si="52"/>
        <v>0.32932075722744175</v>
      </c>
      <c r="J137" s="23">
        <f t="shared" si="52"/>
        <v>0.37425507603058805</v>
      </c>
      <c r="K137" s="23">
        <f t="shared" si="52"/>
        <v>0.50730166873496441</v>
      </c>
      <c r="N137" s="72" t="s">
        <v>223</v>
      </c>
      <c r="O137" s="73" t="s">
        <v>227</v>
      </c>
      <c r="P137" s="74">
        <f>J111</f>
        <v>0.7</v>
      </c>
    </row>
    <row r="138" spans="1:16" x14ac:dyDescent="0.35">
      <c r="B138" s="23"/>
      <c r="C138" s="23"/>
      <c r="D138" s="23"/>
      <c r="E138" s="23"/>
      <c r="F138" s="23"/>
      <c r="G138" s="23"/>
      <c r="H138" s="23"/>
      <c r="I138" s="23"/>
      <c r="J138" s="23"/>
      <c r="K138" s="23"/>
    </row>
    <row r="139" spans="1:16" x14ac:dyDescent="0.35">
      <c r="A139" s="1" t="s">
        <v>127</v>
      </c>
      <c r="L139" s="19" t="s">
        <v>97</v>
      </c>
      <c r="M139" s="1" t="s">
        <v>128</v>
      </c>
      <c r="N139" s="1" t="s">
        <v>129</v>
      </c>
      <c r="O139" s="1" t="s">
        <v>130</v>
      </c>
    </row>
    <row r="140" spans="1:16" x14ac:dyDescent="0.35">
      <c r="A140" t="s">
        <v>63</v>
      </c>
      <c r="B140" s="4">
        <f t="shared" ref="B140:K140" si="53">B121-B56</f>
        <v>1500</v>
      </c>
      <c r="C140" s="4">
        <f t="shared" si="53"/>
        <v>5043.2940000000017</v>
      </c>
      <c r="D140" s="4">
        <f t="shared" si="53"/>
        <v>4268.4065199999986</v>
      </c>
      <c r="E140" s="4">
        <f t="shared" si="53"/>
        <v>2966.4525199999989</v>
      </c>
      <c r="F140" s="4">
        <f t="shared" si="53"/>
        <v>2055.4748799999979</v>
      </c>
      <c r="G140" s="4">
        <f t="shared" si="53"/>
        <v>1967.5688799999989</v>
      </c>
      <c r="H140" s="36">
        <f t="shared" si="53"/>
        <v>1466.01008</v>
      </c>
      <c r="I140" s="4">
        <f t="shared" si="53"/>
        <v>1154.5660799999969</v>
      </c>
      <c r="J140" s="4">
        <f t="shared" si="53"/>
        <v>31.822079999998095</v>
      </c>
      <c r="K140" s="4">
        <f t="shared" si="53"/>
        <v>-8938.7604999999967</v>
      </c>
      <c r="L140" s="68">
        <f>SUM(B140:K140)*B37/10</f>
        <v>11940025562.806767</v>
      </c>
      <c r="M140" s="3">
        <f>($B$37/10)*SUM(B140:H140)</f>
        <v>19978658127.647438</v>
      </c>
      <c r="N140" s="3">
        <f>SUM(I140,K140)*B37/10+SUM(I141,J141)*B36/7</f>
        <v>-7542658191.8369694</v>
      </c>
      <c r="O140" s="3">
        <f>SUM(B140:F140)*B37/10</f>
        <v>16418292547.759958</v>
      </c>
      <c r="P140" s="4">
        <f>SUM(B140:J140)</f>
        <v>20453.595039999993</v>
      </c>
    </row>
    <row r="141" spans="1:16" x14ac:dyDescent="0.35">
      <c r="A141" t="s">
        <v>67</v>
      </c>
      <c r="D141" s="4">
        <f t="shared" ref="D141:J141" si="54">D126-D56</f>
        <v>4268.4065199999986</v>
      </c>
      <c r="E141" s="4">
        <f t="shared" si="54"/>
        <v>2966.4525199999989</v>
      </c>
      <c r="F141" s="4">
        <f t="shared" si="54"/>
        <v>2055.4748799999979</v>
      </c>
      <c r="G141" s="4">
        <f t="shared" si="54"/>
        <v>1967.5688799999989</v>
      </c>
      <c r="H141" s="4">
        <f t="shared" si="54"/>
        <v>1466.01008</v>
      </c>
      <c r="I141" s="4">
        <f t="shared" si="54"/>
        <v>1154.5660799999969</v>
      </c>
      <c r="J141" s="4">
        <f t="shared" si="54"/>
        <v>31.822079999998095</v>
      </c>
      <c r="L141" s="68">
        <f>SUM(D141:J141)*B36/10</f>
        <v>4341502326.6912766</v>
      </c>
      <c r="M141" s="3">
        <f>($B$36/7)*SUM(D141:H141)</f>
        <v>5673174681.7687969</v>
      </c>
      <c r="N141" s="3">
        <f>SUM(I141,K141)*B38/10+SUM(I142,J142)*B37/7</f>
        <v>1557547165.317596</v>
      </c>
      <c r="O141" s="3">
        <f>SUM(D141:F141)*B36/10</f>
        <v>2899578248.7694387</v>
      </c>
    </row>
    <row r="142" spans="1:16" x14ac:dyDescent="0.35">
      <c r="A142" t="s">
        <v>97</v>
      </c>
      <c r="L142" s="68">
        <f>L140+L141</f>
        <v>16281527889.498043</v>
      </c>
      <c r="M142" s="3">
        <f>SUM(M140:M141)</f>
        <v>25651832809.416237</v>
      </c>
      <c r="N142" s="3">
        <f>SUM(B140:H140)*B37/10 + SUM(D141:I141)*B36/7</f>
        <v>26166615888.745605</v>
      </c>
      <c r="O142" s="3">
        <f>SUM(O140:O141)</f>
        <v>19317870796.529396</v>
      </c>
    </row>
    <row r="144" spans="1:16" x14ac:dyDescent="0.35">
      <c r="A144" s="1" t="s">
        <v>95</v>
      </c>
      <c r="M144" s="19" t="s">
        <v>97</v>
      </c>
    </row>
    <row r="145" spans="1:13" x14ac:dyDescent="0.35">
      <c r="A145" t="s">
        <v>96</v>
      </c>
      <c r="B145" s="3">
        <f t="shared" ref="B145:K145" si="55">($B$37/10)*B55+($B$36/7)*B64</f>
        <v>0</v>
      </c>
      <c r="C145" s="3">
        <f t="shared" si="55"/>
        <v>591161596.80500007</v>
      </c>
      <c r="D145" s="3">
        <f t="shared" si="55"/>
        <v>1138451414.9062598</v>
      </c>
      <c r="E145" s="3">
        <f t="shared" si="55"/>
        <v>1787620921.4946885</v>
      </c>
      <c r="F145" s="3">
        <f t="shared" si="55"/>
        <v>4047056727.037756</v>
      </c>
      <c r="G145" s="3">
        <f t="shared" si="55"/>
        <v>7695960798.4461832</v>
      </c>
      <c r="H145" s="3">
        <f t="shared" si="55"/>
        <v>13561802415.145353</v>
      </c>
      <c r="I145" s="3">
        <f t="shared" si="55"/>
        <v>20304436751.443352</v>
      </c>
      <c r="J145" s="3">
        <f t="shared" si="55"/>
        <v>30487190647.077065</v>
      </c>
      <c r="K145" s="3">
        <f t="shared" si="55"/>
        <v>49780096730.237251</v>
      </c>
      <c r="M145" s="3">
        <f>SUM(B145:K145)</f>
        <v>129393778002.5929</v>
      </c>
    </row>
    <row r="146" spans="1:13" x14ac:dyDescent="0.35">
      <c r="A146" t="s">
        <v>107</v>
      </c>
      <c r="B146" s="3">
        <f t="shared" ref="B146:K146" si="56">($B$37/10)*B81+($B$36/7)*B89</f>
        <v>0</v>
      </c>
      <c r="C146" s="3">
        <f t="shared" si="56"/>
        <v>1169048315.7463241</v>
      </c>
      <c r="D146" s="3">
        <f t="shared" si="56"/>
        <v>2079663951.2586188</v>
      </c>
      <c r="E146" s="3">
        <f t="shared" si="56"/>
        <v>3929234143.398654</v>
      </c>
      <c r="F146" s="3">
        <f t="shared" si="56"/>
        <v>6962583962.7607908</v>
      </c>
      <c r="G146" s="3">
        <f t="shared" si="56"/>
        <v>10712336812.19685</v>
      </c>
      <c r="H146" s="3">
        <f t="shared" si="56"/>
        <v>16894865453.794544</v>
      </c>
      <c r="I146" s="3">
        <f t="shared" si="56"/>
        <v>23340823879.295425</v>
      </c>
      <c r="J146" s="3">
        <f t="shared" si="56"/>
        <v>33075536603.521259</v>
      </c>
      <c r="K146" s="3">
        <f t="shared" si="56"/>
        <v>50597646123.755249</v>
      </c>
      <c r="M146" s="3">
        <f t="shared" ref="M146:M151" si="57">SUM(B146:K146)</f>
        <v>148761739245.72772</v>
      </c>
    </row>
    <row r="147" spans="1:13" x14ac:dyDescent="0.35">
      <c r="A147" t="s">
        <v>230</v>
      </c>
      <c r="B147" s="3">
        <f t="shared" ref="B147:K147" si="58">($B$37/10)*B120+($B$36/7)*B125</f>
        <v>0</v>
      </c>
      <c r="C147" s="3">
        <f t="shared" si="58"/>
        <v>800937847.00800002</v>
      </c>
      <c r="D147" s="3">
        <f t="shared" si="58"/>
        <v>4145745881.3348579</v>
      </c>
      <c r="E147" s="3">
        <f t="shared" si="58"/>
        <v>6340112919.9874287</v>
      </c>
      <c r="F147" s="3">
        <f t="shared" si="58"/>
        <v>9711224200.0114288</v>
      </c>
      <c r="G147" s="3">
        <f t="shared" si="58"/>
        <v>13623661555.748571</v>
      </c>
      <c r="H147" s="3">
        <f t="shared" si="58"/>
        <v>19478260715.099998</v>
      </c>
      <c r="I147" s="3">
        <f t="shared" si="58"/>
        <v>26424254571.299999</v>
      </c>
      <c r="J147" s="3">
        <f t="shared" si="58"/>
        <v>37881496764.128571</v>
      </c>
      <c r="K147" s="3">
        <f t="shared" si="58"/>
        <v>60700540367.479996</v>
      </c>
      <c r="M147" s="3">
        <f t="shared" si="57"/>
        <v>179106234822.09885</v>
      </c>
    </row>
    <row r="148" spans="1:13" x14ac:dyDescent="0.35">
      <c r="M148" s="3"/>
    </row>
    <row r="149" spans="1:13" x14ac:dyDescent="0.35">
      <c r="A149" t="s">
        <v>231</v>
      </c>
      <c r="B149" s="3">
        <f>B146-B145</f>
        <v>0</v>
      </c>
      <c r="C149" s="3">
        <f t="shared" ref="C149:J149" si="59">C146-C145</f>
        <v>577886718.941324</v>
      </c>
      <c r="D149" s="3">
        <f t="shared" si="59"/>
        <v>941212536.35235906</v>
      </c>
      <c r="E149" s="3">
        <f t="shared" si="59"/>
        <v>2141613221.9039655</v>
      </c>
      <c r="F149" s="3">
        <f t="shared" si="59"/>
        <v>2915527235.7230349</v>
      </c>
      <c r="G149" s="3">
        <f t="shared" si="59"/>
        <v>3016376013.7506666</v>
      </c>
      <c r="H149" s="3">
        <f t="shared" si="59"/>
        <v>3333063038.6491909</v>
      </c>
      <c r="I149" s="3">
        <f t="shared" si="59"/>
        <v>3036387127.8520737</v>
      </c>
      <c r="J149" s="3">
        <f t="shared" si="59"/>
        <v>2588345956.4441948</v>
      </c>
      <c r="K149" s="3">
        <f>K146-K145</f>
        <v>817549393.51799774</v>
      </c>
      <c r="M149" s="3">
        <f t="shared" si="57"/>
        <v>19367961243.134804</v>
      </c>
    </row>
    <row r="150" spans="1:13" x14ac:dyDescent="0.35">
      <c r="M150" s="3"/>
    </row>
    <row r="151" spans="1:13" x14ac:dyDescent="0.35">
      <c r="A151" t="s">
        <v>232</v>
      </c>
      <c r="B151" s="3">
        <f>B147-B145</f>
        <v>0</v>
      </c>
      <c r="C151" s="3">
        <f t="shared" ref="C151:J151" si="60">C147-C145</f>
        <v>209776250.20299995</v>
      </c>
      <c r="D151" s="3">
        <f t="shared" si="60"/>
        <v>3007294466.4285984</v>
      </c>
      <c r="E151" s="3">
        <f t="shared" si="60"/>
        <v>4552491998.4927406</v>
      </c>
      <c r="F151" s="3">
        <f t="shared" si="60"/>
        <v>5664167472.9736729</v>
      </c>
      <c r="G151" s="3">
        <f t="shared" si="60"/>
        <v>5927700757.3023882</v>
      </c>
      <c r="H151" s="3">
        <f t="shared" si="60"/>
        <v>5916458299.9546452</v>
      </c>
      <c r="I151" s="3">
        <f t="shared" si="60"/>
        <v>6119817819.8566475</v>
      </c>
      <c r="J151" s="3">
        <f t="shared" si="60"/>
        <v>7394306117.051506</v>
      </c>
      <c r="K151" s="3">
        <f>K147-K145</f>
        <v>10920443637.242744</v>
      </c>
      <c r="M151" s="3">
        <f t="shared" si="57"/>
        <v>49712456819.505943</v>
      </c>
    </row>
    <row r="154" spans="1:13" x14ac:dyDescent="0.35">
      <c r="A154" s="1" t="s">
        <v>187</v>
      </c>
    </row>
    <row r="155" spans="1:13" x14ac:dyDescent="0.35">
      <c r="A155" t="s">
        <v>69</v>
      </c>
      <c r="B155" s="3">
        <f>L131</f>
        <v>69822558423.000015</v>
      </c>
    </row>
    <row r="156" spans="1:13" x14ac:dyDescent="0.35">
      <c r="A156" t="s">
        <v>70</v>
      </c>
      <c r="B156" s="3">
        <f>L133</f>
        <v>19402000000</v>
      </c>
    </row>
    <row r="157" spans="1:13" x14ac:dyDescent="0.35">
      <c r="A157" t="s">
        <v>71</v>
      </c>
      <c r="B157" s="3">
        <f>L132</f>
        <v>49712456819.50592</v>
      </c>
    </row>
    <row r="158" spans="1:13" x14ac:dyDescent="0.35">
      <c r="A158" t="s">
        <v>72</v>
      </c>
      <c r="B158" s="3">
        <f>B155-B156-B157</f>
        <v>708101603.49409485</v>
      </c>
      <c r="C158" s="15" t="s">
        <v>6</v>
      </c>
      <c r="D158" s="16">
        <f>B158/1000000000</f>
        <v>0.7081016034940949</v>
      </c>
      <c r="E158" t="s">
        <v>73</v>
      </c>
    </row>
    <row r="161" spans="1:18" x14ac:dyDescent="0.35">
      <c r="A161" s="1" t="s">
        <v>98</v>
      </c>
      <c r="N161" t="s">
        <v>102</v>
      </c>
      <c r="O161" t="s">
        <v>103</v>
      </c>
    </row>
    <row r="162" spans="1:18" x14ac:dyDescent="0.35">
      <c r="A162" t="s">
        <v>235</v>
      </c>
      <c r="B162" s="3">
        <f>($B$37/10)*B56+($B$36/7)*B65</f>
        <v>2488621200</v>
      </c>
      <c r="C162" s="3">
        <f t="shared" ref="C162:K162" si="61">($B$37/10)*C56+($B$36/7)*C65</f>
        <v>9259630653.1949997</v>
      </c>
      <c r="D162" s="3">
        <f t="shared" si="61"/>
        <v>20213762642.236595</v>
      </c>
      <c r="E162" s="3">
        <f t="shared" si="61"/>
        <v>25940601499.933884</v>
      </c>
      <c r="F162" s="3">
        <f t="shared" si="61"/>
        <v>32577921551.533676</v>
      </c>
      <c r="G162" s="3">
        <f t="shared" si="61"/>
        <v>39160286715.839531</v>
      </c>
      <c r="H162" s="3">
        <f t="shared" si="61"/>
        <v>45601624034.854645</v>
      </c>
      <c r="I162" s="3">
        <f t="shared" si="61"/>
        <v>53390357598.556648</v>
      </c>
      <c r="J162" s="3">
        <f t="shared" si="61"/>
        <v>65152934817.208649</v>
      </c>
      <c r="K162" s="3">
        <f t="shared" si="61"/>
        <v>68222025169.762749</v>
      </c>
      <c r="M162" t="str">
        <f>A162</f>
        <v>Netto inkomen vóór invoering BIDyn</v>
      </c>
      <c r="N162" s="11">
        <f>K162/SUM(B162:K162)</f>
        <v>0.18845459020287719</v>
      </c>
      <c r="O162" s="11">
        <f>SUM(B162:F162)/SUM(B162:K162)</f>
        <v>0.24994087440685428</v>
      </c>
    </row>
    <row r="163" spans="1:18" x14ac:dyDescent="0.35">
      <c r="A163" t="s">
        <v>236</v>
      </c>
      <c r="B163" s="3">
        <f>($B$37/10)*B121+($B$36/7)*B126</f>
        <v>4044009450</v>
      </c>
      <c r="C163" s="3">
        <f t="shared" ref="C163:K163" si="62">($B$37/10)*C121+($B$36/7)*C126</f>
        <v>14489150805.792002</v>
      </c>
      <c r="D163" s="3">
        <f t="shared" si="62"/>
        <v>26053402200.150856</v>
      </c>
      <c r="E163" s="3">
        <f t="shared" si="62"/>
        <v>29954499157.755428</v>
      </c>
      <c r="F163" s="3">
        <f t="shared" si="62"/>
        <v>35088686477.159996</v>
      </c>
      <c r="G163" s="3">
        <f t="shared" si="62"/>
        <v>40957342510.765709</v>
      </c>
      <c r="H163" s="3">
        <f t="shared" si="62"/>
        <v>46868406413.957146</v>
      </c>
      <c r="I163" s="3">
        <f t="shared" si="62"/>
        <v>53814400270.157135</v>
      </c>
      <c r="J163" s="3">
        <f t="shared" si="62"/>
        <v>63336894622.585709</v>
      </c>
      <c r="K163" s="3">
        <f t="shared" si="62"/>
        <v>58953196468.920006</v>
      </c>
      <c r="M163" t="str">
        <f>A163</f>
        <v>Netto inkomen ná invoering BIDyn+geoptimaliseerde IB</v>
      </c>
      <c r="N163" s="11">
        <f>K163/SUM(B163:K163)</f>
        <v>0.15781453662908199</v>
      </c>
      <c r="O163" s="11">
        <f>SUM(B163:F163)/SUM(B163:K163)</f>
        <v>0.29347294009482455</v>
      </c>
    </row>
    <row r="165" spans="1:18" x14ac:dyDescent="0.35">
      <c r="M165" s="46" t="s">
        <v>122</v>
      </c>
      <c r="N165" s="47"/>
      <c r="O165" s="48"/>
      <c r="P165" s="46" t="s">
        <v>136</v>
      </c>
      <c r="Q165" s="47"/>
      <c r="R165" s="48"/>
    </row>
    <row r="166" spans="1:18" x14ac:dyDescent="0.35">
      <c r="A166" s="1" t="s">
        <v>110</v>
      </c>
      <c r="M166" s="49" t="s">
        <v>48</v>
      </c>
      <c r="N166" s="50" t="s">
        <v>131</v>
      </c>
      <c r="O166" s="51" t="s">
        <v>133</v>
      </c>
      <c r="P166" s="49" t="s">
        <v>135</v>
      </c>
      <c r="Q166" s="50" t="s">
        <v>131</v>
      </c>
      <c r="R166" s="51" t="s">
        <v>133</v>
      </c>
    </row>
    <row r="167" spans="1:18" x14ac:dyDescent="0.35">
      <c r="A167" t="s">
        <v>117</v>
      </c>
      <c r="B167">
        <v>12600</v>
      </c>
      <c r="C167">
        <f>E110</f>
        <v>25000</v>
      </c>
      <c r="D167">
        <f>G110</f>
        <v>37000</v>
      </c>
      <c r="E167">
        <f>I110</f>
        <v>65000</v>
      </c>
      <c r="M167" s="52">
        <f>B167</f>
        <v>12600</v>
      </c>
      <c r="N167" s="53">
        <f>B169</f>
        <v>0</v>
      </c>
      <c r="O167" s="54">
        <f>B167-B168</f>
        <v>12600</v>
      </c>
      <c r="P167" s="52">
        <v>12600</v>
      </c>
      <c r="Q167" s="53" t="e">
        <f>F177</f>
        <v>#DIV/0!</v>
      </c>
      <c r="R167" s="54">
        <f>F176</f>
        <v>0</v>
      </c>
    </row>
    <row r="168" spans="1:18" x14ac:dyDescent="0.35">
      <c r="A168" t="s">
        <v>233</v>
      </c>
      <c r="B168" s="4">
        <f>IF(B167&lt;$C$110,$B$111*B167,IF(B167&lt;$E$110,(B167-$C$110)*$D$111+$C$110*$B$111,IF(B167&lt;$G$110,(B167-$E$110)*$F$111+($E$110-$C$110)*$D$111+$C$110*$B$111,IF(B167&lt;$I$110,(B167-$G$110)*$H$111+($G$110-$E$110)*$F$111+($E$110-$C$110)*$D$111+$C$110*$B$111,(B167-$I$110)*$J$111+($I$110-$G$110)*$H$111+($G$110-$E$110)*$F$111+($E$110-$C$110)*$D$111+$C$110*$B$111))))</f>
        <v>0</v>
      </c>
      <c r="C168" s="4">
        <f>IF(C167&lt;$C$110,$B$111*C167,IF(C167&lt;$E$110,(C167-$C$110)*$D$111+$C$110*$B$111,IF(C167&lt;$G$110,(C167-$E$110)*$F$111+($E$110-$C$110)*$D$111+$C$110*$B$111,IF(C167&lt;$I$110,(C167-$G$110)*$H$111+($G$110-$E$110)*$F$111+($E$110-$C$110)*$D$111+$C$110*$B$111,(C167-$I$110)*$J$111+($I$110-$G$110)*$H$111+($G$110-$E$110)*$F$111+($E$110-$C$110)*$D$111+$C$110*$B$111))))</f>
        <v>4464</v>
      </c>
      <c r="D168" s="4">
        <f>IF(D167&lt;$C$110,$B$111*D167,IF(D167&lt;$E$110,(D167-$C$110)*$D$111+$C$110*$B$111,IF(D167&lt;$G$110,(D167-$E$110)*$F$111+($E$110-$C$110)*$D$111+$C$110*$B$111,IF(D167&lt;$I$110,(D167-$G$110)*$H$111+($G$110-$E$110)*$F$111+($E$110-$C$110)*$D$111+$C$110*$B$111,(D167-$I$110)*$J$111+($I$110-$G$110)*$H$111+($G$110-$E$110)*$F$111+($E$110-$C$110)*$D$111+$C$110*$B$111))))</f>
        <v>9264</v>
      </c>
      <c r="E168" s="4">
        <f>IF(E167&lt;$C$110,$B$111*E167,IF(E167&lt;$E$110,(E167-$C$110)*$D$111+$C$110*$B$111,IF(E167&lt;$G$110,(E167-$E$110)*$F$111+($E$110-$C$110)*$D$111+$C$110*$B$111,IF(E167&lt;$I$110,(E167-$G$110)*$H$111+($G$110-$E$110)*$F$111+($E$110-$C$110)*$D$111+$C$110*$B$111,(E167-$I$110)*$J$111+($I$110-$G$110)*$H$111+($G$110-$E$110)*$F$111+($E$110-$C$110)*$D$111+$C$110*$B$111))))</f>
        <v>23264</v>
      </c>
      <c r="M168" s="52">
        <f>C167</f>
        <v>25000</v>
      </c>
      <c r="N168" s="53">
        <f>C169</f>
        <v>0.17856</v>
      </c>
      <c r="O168" s="54">
        <f>C167-C168</f>
        <v>20536</v>
      </c>
      <c r="P168" s="52">
        <v>12600</v>
      </c>
      <c r="Q168" s="53" t="e">
        <f>F177</f>
        <v>#DIV/0!</v>
      </c>
      <c r="R168" s="54">
        <f>F176</f>
        <v>0</v>
      </c>
    </row>
    <row r="169" spans="1:18" s="17" customFormat="1" x14ac:dyDescent="0.35">
      <c r="A169" s="17" t="s">
        <v>234</v>
      </c>
      <c r="B169" s="24">
        <f>B168/B167</f>
        <v>0</v>
      </c>
      <c r="C169" s="24">
        <f>C168/C167</f>
        <v>0.17856</v>
      </c>
      <c r="D169" s="24">
        <f>D168/D167</f>
        <v>0.2503783783783784</v>
      </c>
      <c r="E169" s="24">
        <f>E168/E167</f>
        <v>0.35790769230769232</v>
      </c>
      <c r="M169" s="52">
        <f>D167</f>
        <v>37000</v>
      </c>
      <c r="N169" s="53">
        <f>D169</f>
        <v>0.2503783783783784</v>
      </c>
      <c r="O169" s="54">
        <f>D167-D168</f>
        <v>27736</v>
      </c>
      <c r="P169" s="52">
        <f>D171</f>
        <v>0</v>
      </c>
      <c r="Q169" s="53" t="e">
        <f>D177</f>
        <v>#DIV/0!</v>
      </c>
      <c r="R169" s="54">
        <f>D176</f>
        <v>0</v>
      </c>
    </row>
    <row r="170" spans="1:18" x14ac:dyDescent="0.35">
      <c r="F170" s="9" t="s">
        <v>132</v>
      </c>
      <c r="M170" s="55">
        <f>E167</f>
        <v>65000</v>
      </c>
      <c r="N170" s="56">
        <f>E169</f>
        <v>0.35790769230769232</v>
      </c>
      <c r="O170" s="57">
        <f>E167-E168</f>
        <v>41736</v>
      </c>
      <c r="P170" s="55">
        <f>E171</f>
        <v>0</v>
      </c>
      <c r="Q170" s="56" t="e">
        <f>E177</f>
        <v>#DIV/0!</v>
      </c>
      <c r="R170" s="57">
        <f>E176</f>
        <v>0</v>
      </c>
    </row>
    <row r="171" spans="1:18" x14ac:dyDescent="0.35">
      <c r="A171" t="s">
        <v>116</v>
      </c>
    </row>
    <row r="172" spans="1:18" x14ac:dyDescent="0.35">
      <c r="A172" t="s">
        <v>50</v>
      </c>
      <c r="B172" s="4">
        <f>IF(B171&lt;68507,37.35%*B171,(37.35%*68507+(B171-68507)*49.5%))</f>
        <v>0</v>
      </c>
      <c r="C172" s="4">
        <f>IF(C171&lt;68507,37.35%*C171,(37.35%*68507+(C171-68507)*49.5%))</f>
        <v>0</v>
      </c>
      <c r="D172" s="4">
        <f>IF(D171&lt;68507,37.35%*D171,(37.35%*68507+(D171-68507)*49.5%))</f>
        <v>0</v>
      </c>
      <c r="E172" s="4">
        <f>IF(E171&lt;68507,37.35%*E171,(37.35%*68507+(E171-68507)*49.5%))</f>
        <v>0</v>
      </c>
      <c r="F172" s="4">
        <f>IF(F171&lt;68507,37.35%*F171,(37.35%*68507+(F171-68507)*49.5%))</f>
        <v>0</v>
      </c>
    </row>
    <row r="173" spans="1:18" x14ac:dyDescent="0.35">
      <c r="A173" t="s">
        <v>113</v>
      </c>
      <c r="B173" s="4">
        <f>IF(B171&lt;20711,2711,IF(B171&lt;68507,(2711-0.05672*(B171-20711)),0))</f>
        <v>2711</v>
      </c>
      <c r="C173" s="4">
        <f>IF(C171&lt;20711,2711,IF(C171&lt;68507,(2711-0.05672*(C171-20711)),0))</f>
        <v>2711</v>
      </c>
      <c r="D173" s="4">
        <f>IF(D171&lt;20711,2711,IF(D171&lt;68507,(2711-0.05672*(D171-20711)),0))</f>
        <v>2711</v>
      </c>
      <c r="E173" s="4">
        <f>IF(E171&lt;20711,2711,IF(E171&lt;68507,(2711-0.05672*(E171-20711)),0))</f>
        <v>2711</v>
      </c>
      <c r="F173" s="4">
        <f>IF(F171&lt;20711,2711,IF(F171&lt;68507,(2711-0.05672*(F171-20711)),0))</f>
        <v>2711</v>
      </c>
    </row>
    <row r="174" spans="1:18" x14ac:dyDescent="0.35">
      <c r="A174" t="s">
        <v>23</v>
      </c>
      <c r="B174" s="4">
        <f>IF(B171&lt;9921,0.02812*B171,IF(B171&lt;21430,279+0.28812*(B171-9921),IF(B171&lt;34954,3595+0.01656*(B171-21430),IF(B171&lt;98604,3819-0.06*(B171-34954),0))))</f>
        <v>0</v>
      </c>
      <c r="C174" s="4">
        <f>IF(C171&lt;9921,0.02812*C171,IF(C171&lt;21430,279+0.28812*(C171-9921),IF(C171&lt;34954,3595+0.01656*(C171-21430),IF(C171&lt;98604,3819-0.06*(C171-34954),0))))</f>
        <v>0</v>
      </c>
      <c r="D174" s="4">
        <f>IF(D171&lt;9921,0.02812*D171,IF(D171&lt;21430,279+0.28812*(D171-9921),IF(D171&lt;34954,3595+0.01656*(D171-21430),IF(D171&lt;98604,3819-0.06*(D171-34954),0))))</f>
        <v>0</v>
      </c>
      <c r="E174" s="4">
        <f>IF(E171&lt;9921,0.02812*E171,IF(E171&lt;21430,279+0.28812*(E171-9921),IF(E171&lt;34954,3595+0.01656*(E171-21430),IF(E171&lt;98604,3819-0.06*(E171-34954),0))))</f>
        <v>0</v>
      </c>
      <c r="F174" s="4">
        <f>IF(F171&lt;9921,0.02812*F171,IF(F171&lt;21430,279+0.28812*(F171-9921),IF(F171&lt;34954,3595+0.01656*(F171-21430),IF(F171&lt;98604,3819-0.06*(F171-34954),0))))</f>
        <v>0</v>
      </c>
    </row>
    <row r="175" spans="1:18" x14ac:dyDescent="0.35">
      <c r="A175" t="s">
        <v>114</v>
      </c>
      <c r="B175" s="4">
        <f>IF(B172-B173-B174&lt;0,0,B172-B173-B174)</f>
        <v>0</v>
      </c>
      <c r="C175" s="4">
        <f>IF(C172-C173-C174&lt;0,0,C172-C173-C174)</f>
        <v>0</v>
      </c>
      <c r="D175" s="4">
        <f>IF(D172-D173-D174&lt;0,0,D172-D173-D174)</f>
        <v>0</v>
      </c>
      <c r="E175" s="4">
        <f>IF(E172-E173-E174&lt;0,0,E172-E173-E174)</f>
        <v>0</v>
      </c>
      <c r="F175" s="4">
        <f>IF(F172-F173-F174&lt;0,0,F172-F173-F174)</f>
        <v>0</v>
      </c>
    </row>
    <row r="176" spans="1:18" x14ac:dyDescent="0.35">
      <c r="A176" t="s">
        <v>134</v>
      </c>
      <c r="D176" s="4">
        <f>D171-D175</f>
        <v>0</v>
      </c>
      <c r="E176" s="4">
        <f>E171-E175</f>
        <v>0</v>
      </c>
      <c r="F176" s="4">
        <f>F171-F175</f>
        <v>0</v>
      </c>
    </row>
    <row r="177" spans="1:6" x14ac:dyDescent="0.35">
      <c r="A177" s="17" t="s">
        <v>115</v>
      </c>
      <c r="B177" s="17">
        <v>0</v>
      </c>
      <c r="C177" s="25" t="e">
        <f>C175/C171</f>
        <v>#DIV/0!</v>
      </c>
      <c r="D177" s="25" t="e">
        <f>D175/D171</f>
        <v>#DIV/0!</v>
      </c>
      <c r="E177" s="25" t="e">
        <f>E175/E171</f>
        <v>#DIV/0!</v>
      </c>
      <c r="F177" s="25" t="e">
        <f>F175/F171</f>
        <v>#DIV/0!</v>
      </c>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5FBC-2422-4E0A-B862-5AD1E9660E3C}">
  <dimension ref="A1:AA177"/>
  <sheetViews>
    <sheetView workbookViewId="0">
      <selection activeCell="J112" sqref="J112"/>
    </sheetView>
  </sheetViews>
  <sheetFormatPr defaultRowHeight="14.5" x14ac:dyDescent="0.35"/>
  <cols>
    <col min="1" max="1" width="38.453125" customWidth="1"/>
    <col min="2" max="2" width="16.7265625" bestFit="1" customWidth="1"/>
    <col min="3" max="3" width="9.453125" bestFit="1" customWidth="1"/>
    <col min="4" max="4" width="10.81640625" customWidth="1"/>
    <col min="7" max="7" width="9.453125" customWidth="1"/>
    <col min="12" max="12" width="14.26953125" bestFit="1" customWidth="1"/>
    <col min="13" max="13" width="24" customWidth="1"/>
    <col min="14" max="15" width="13" bestFit="1" customWidth="1"/>
    <col min="17" max="17" width="35.7265625" customWidth="1"/>
    <col min="20" max="20" width="9.26953125" bestFit="1" customWidth="1"/>
    <col min="21" max="21" width="10.1796875" bestFit="1" customWidth="1"/>
    <col min="22" max="22" width="12.26953125" bestFit="1" customWidth="1"/>
    <col min="23" max="23" width="13.453125" bestFit="1" customWidth="1"/>
  </cols>
  <sheetData>
    <row r="1" spans="1:23" ht="21" x14ac:dyDescent="0.5">
      <c r="A1" s="2" t="s">
        <v>262</v>
      </c>
      <c r="B1" s="5"/>
      <c r="C1" t="s">
        <v>147</v>
      </c>
      <c r="D1" s="19" t="s">
        <v>177</v>
      </c>
    </row>
    <row r="2" spans="1:23" ht="21" x14ac:dyDescent="0.5">
      <c r="A2" s="2"/>
      <c r="B2" s="37" t="s">
        <v>175</v>
      </c>
      <c r="C2">
        <f>BIDyn!C2</f>
        <v>0</v>
      </c>
      <c r="D2">
        <v>8500</v>
      </c>
    </row>
    <row r="3" spans="1:23" ht="21" x14ac:dyDescent="0.5">
      <c r="A3" s="2"/>
      <c r="B3" s="37" t="s">
        <v>176</v>
      </c>
      <c r="C3" s="4">
        <v>150000</v>
      </c>
      <c r="D3">
        <v>0</v>
      </c>
    </row>
    <row r="4" spans="1:23" ht="21" x14ac:dyDescent="0.5">
      <c r="A4" s="2"/>
      <c r="B4" s="37" t="s">
        <v>214</v>
      </c>
      <c r="D4" s="66">
        <f>(D2-D3)/(C2-C3)</f>
        <v>-5.6666666666666664E-2</v>
      </c>
    </row>
    <row r="5" spans="1:23" ht="21" x14ac:dyDescent="0.5">
      <c r="A5" s="2"/>
      <c r="B5" s="37" t="s">
        <v>237</v>
      </c>
      <c r="D5" s="4">
        <f>D2*C3/(C3-C2)</f>
        <v>8500</v>
      </c>
      <c r="E5" s="3"/>
    </row>
    <row r="6" spans="1:23" ht="21" x14ac:dyDescent="0.5">
      <c r="A6" s="2"/>
      <c r="B6" s="37"/>
      <c r="D6" t="s">
        <v>205</v>
      </c>
      <c r="F6" s="3">
        <f>L134</f>
        <v>20838792723.176758</v>
      </c>
    </row>
    <row r="7" spans="1:23" x14ac:dyDescent="0.35">
      <c r="A7" t="s">
        <v>200</v>
      </c>
      <c r="B7" s="37"/>
    </row>
    <row r="8" spans="1:23" x14ac:dyDescent="0.35">
      <c r="A8" s="61"/>
      <c r="B8" s="61" t="s">
        <v>2</v>
      </c>
      <c r="C8" s="61" t="s">
        <v>3</v>
      </c>
      <c r="D8" s="61" t="s">
        <v>4</v>
      </c>
      <c r="E8" s="61" t="s">
        <v>57</v>
      </c>
    </row>
    <row r="9" spans="1:23" x14ac:dyDescent="0.35">
      <c r="A9" s="61" t="s">
        <v>1</v>
      </c>
      <c r="B9" s="62">
        <v>13490325</v>
      </c>
      <c r="C9" s="61">
        <f>12*1050</f>
        <v>12600</v>
      </c>
      <c r="D9" s="61">
        <f>0.05*C9</f>
        <v>630</v>
      </c>
      <c r="E9" s="62">
        <f>B9*(C9+D9)</f>
        <v>178476999750</v>
      </c>
    </row>
    <row r="10" spans="1:23" x14ac:dyDescent="0.35">
      <c r="A10" s="61" t="s">
        <v>54</v>
      </c>
      <c r="B10" s="62">
        <v>3791838</v>
      </c>
      <c r="C10" s="61">
        <v>1500</v>
      </c>
      <c r="D10" s="61">
        <f>0.05*1200</f>
        <v>60</v>
      </c>
      <c r="E10" s="62">
        <f>B10*(C10+D10)</f>
        <v>5915267280</v>
      </c>
      <c r="G10" s="3">
        <f>E9+E10</f>
        <v>184392267030</v>
      </c>
      <c r="T10" s="18"/>
      <c r="U10" s="18"/>
      <c r="V10" s="18"/>
      <c r="W10" s="18"/>
    </row>
    <row r="11" spans="1:23" x14ac:dyDescent="0.35">
      <c r="A11" s="61" t="s">
        <v>7</v>
      </c>
      <c r="B11" s="62"/>
      <c r="C11" s="61"/>
      <c r="D11" s="61"/>
      <c r="E11" s="62">
        <f>0.15*E25</f>
        <v>4410300000</v>
      </c>
      <c r="T11" s="18"/>
      <c r="U11" s="18"/>
      <c r="V11" s="18"/>
      <c r="W11" s="18"/>
    </row>
    <row r="12" spans="1:23" x14ac:dyDescent="0.35">
      <c r="A12" s="61" t="s">
        <v>56</v>
      </c>
      <c r="B12" s="61"/>
      <c r="C12" s="61"/>
      <c r="D12" s="61"/>
      <c r="E12" s="62">
        <f>SUM(E9:E11)</f>
        <v>188802567030</v>
      </c>
      <c r="F12" t="s">
        <v>6</v>
      </c>
      <c r="M12" s="13">
        <f>E12</f>
        <v>188802567030</v>
      </c>
      <c r="T12" s="18"/>
      <c r="U12" s="18"/>
      <c r="V12" s="18"/>
      <c r="W12" s="18"/>
    </row>
    <row r="13" spans="1:23" x14ac:dyDescent="0.35">
      <c r="A13" s="61" t="s">
        <v>5</v>
      </c>
      <c r="B13" s="62">
        <f>SUM(B9:B10)</f>
        <v>17282163</v>
      </c>
      <c r="C13" s="61"/>
      <c r="D13" s="61"/>
      <c r="E13" s="61"/>
      <c r="T13" s="18"/>
      <c r="U13" s="18"/>
      <c r="V13" s="18"/>
      <c r="W13" s="18"/>
    </row>
    <row r="14" spans="1:23" x14ac:dyDescent="0.35">
      <c r="B14" s="3"/>
      <c r="T14" s="18"/>
      <c r="U14" s="18"/>
      <c r="V14" s="18"/>
      <c r="W14" s="18"/>
    </row>
    <row r="15" spans="1:23" x14ac:dyDescent="0.35">
      <c r="A15" t="s">
        <v>185</v>
      </c>
      <c r="T15" s="18"/>
      <c r="U15" s="18"/>
      <c r="V15" s="18"/>
      <c r="W15" s="18"/>
    </row>
    <row r="16" spans="1:23" x14ac:dyDescent="0.35">
      <c r="A16" s="1" t="s">
        <v>77</v>
      </c>
      <c r="B16" t="s">
        <v>2</v>
      </c>
      <c r="C16" t="s">
        <v>13</v>
      </c>
      <c r="D16" t="s">
        <v>14</v>
      </c>
      <c r="E16" t="s">
        <v>5</v>
      </c>
      <c r="T16" s="18"/>
      <c r="U16" s="18"/>
      <c r="V16" s="18"/>
      <c r="W16" s="18"/>
    </row>
    <row r="17" spans="1:23" x14ac:dyDescent="0.35">
      <c r="A17" t="s">
        <v>8</v>
      </c>
      <c r="B17" s="3">
        <v>1400000</v>
      </c>
      <c r="C17" s="3">
        <v>85000000</v>
      </c>
      <c r="D17" s="3">
        <v>3600000000</v>
      </c>
      <c r="E17" s="3">
        <f>C17+D17</f>
        <v>3685000000</v>
      </c>
      <c r="F17" s="3"/>
      <c r="T17" s="18"/>
      <c r="U17" s="18"/>
      <c r="V17" s="18"/>
      <c r="W17" s="18"/>
    </row>
    <row r="18" spans="1:23" x14ac:dyDescent="0.35">
      <c r="A18" t="s">
        <v>9</v>
      </c>
      <c r="B18" s="3">
        <v>4500000</v>
      </c>
      <c r="C18" s="3">
        <v>68000000</v>
      </c>
      <c r="D18" s="3">
        <v>4700000000</v>
      </c>
      <c r="E18" s="3">
        <f>C18+D18</f>
        <v>4768000000</v>
      </c>
      <c r="F18" s="3"/>
      <c r="T18" s="18"/>
      <c r="U18" s="18"/>
      <c r="V18" s="18"/>
      <c r="W18" s="18"/>
    </row>
    <row r="19" spans="1:23" x14ac:dyDescent="0.35">
      <c r="A19" t="s">
        <v>10</v>
      </c>
      <c r="B19" s="3">
        <v>1870000</v>
      </c>
      <c r="D19" s="3">
        <v>3300000000</v>
      </c>
      <c r="E19" s="3">
        <v>3300000000</v>
      </c>
      <c r="F19" s="3"/>
    </row>
    <row r="20" spans="1:23" x14ac:dyDescent="0.35">
      <c r="A20" t="s">
        <v>11</v>
      </c>
      <c r="B20" s="3">
        <v>700000</v>
      </c>
      <c r="C20" s="3">
        <v>20000000</v>
      </c>
      <c r="D20" s="3">
        <v>1900000000</v>
      </c>
      <c r="E20" s="3">
        <f>C20+D20</f>
        <v>1920000000</v>
      </c>
      <c r="F20" s="3"/>
    </row>
    <row r="21" spans="1:23" x14ac:dyDescent="0.35">
      <c r="A21" t="s">
        <v>12</v>
      </c>
      <c r="B21" s="3">
        <v>600000</v>
      </c>
      <c r="C21" s="3">
        <v>69000000</v>
      </c>
      <c r="D21" s="3">
        <v>2600000000</v>
      </c>
      <c r="E21" s="3">
        <f>C21+D21</f>
        <v>2669000000</v>
      </c>
      <c r="F21" s="3"/>
    </row>
    <row r="22" spans="1:23" x14ac:dyDescent="0.35">
      <c r="A22" t="s">
        <v>55</v>
      </c>
      <c r="B22" s="3">
        <v>400000</v>
      </c>
      <c r="C22" s="3"/>
      <c r="D22" s="3">
        <v>14000</v>
      </c>
      <c r="E22" s="3">
        <f>D22*B22</f>
        <v>5600000000</v>
      </c>
      <c r="H22" s="3"/>
    </row>
    <row r="23" spans="1:23" x14ac:dyDescent="0.35">
      <c r="A23" t="s">
        <v>28</v>
      </c>
      <c r="B23" s="3"/>
      <c r="C23" s="3"/>
      <c r="D23" s="3"/>
      <c r="E23" s="3">
        <v>5000000000</v>
      </c>
    </row>
    <row r="24" spans="1:23" x14ac:dyDescent="0.35">
      <c r="A24" t="s">
        <v>59</v>
      </c>
      <c r="B24" s="3"/>
      <c r="C24" s="3"/>
      <c r="D24" s="3"/>
      <c r="E24" s="3">
        <v>2460000000</v>
      </c>
    </row>
    <row r="25" spans="1:23" x14ac:dyDescent="0.35">
      <c r="A25" t="s">
        <v>5</v>
      </c>
      <c r="B25" s="3"/>
      <c r="C25" s="3">
        <f>SUM(C17:C24)</f>
        <v>242000000</v>
      </c>
      <c r="D25" s="3">
        <f>SUM(D17:D24)</f>
        <v>16100014000</v>
      </c>
      <c r="E25" s="3">
        <f>SUM(E17:E24)</f>
        <v>29402000000</v>
      </c>
      <c r="F25" s="3">
        <f>E25</f>
        <v>29402000000</v>
      </c>
      <c r="M25" s="3"/>
    </row>
    <row r="26" spans="1:23" x14ac:dyDescent="0.35">
      <c r="B26" s="3"/>
      <c r="C26" s="3"/>
      <c r="D26" s="3"/>
      <c r="E26" s="3"/>
    </row>
    <row r="27" spans="1:23" x14ac:dyDescent="0.35">
      <c r="A27" s="1" t="s">
        <v>58</v>
      </c>
    </row>
    <row r="28" spans="1:23" x14ac:dyDescent="0.35">
      <c r="A28" t="s">
        <v>33</v>
      </c>
      <c r="B28" s="3">
        <v>250000</v>
      </c>
      <c r="C28">
        <f>D2</f>
        <v>8500</v>
      </c>
      <c r="E28" s="3">
        <f>B28*C28</f>
        <v>2125000000</v>
      </c>
      <c r="M28" s="3"/>
    </row>
    <row r="30" spans="1:23" x14ac:dyDescent="0.35">
      <c r="A30" s="6" t="s">
        <v>41</v>
      </c>
      <c r="E30" s="12">
        <f>E28+E25</f>
        <v>31527000000</v>
      </c>
      <c r="M30" s="7"/>
    </row>
    <row r="32" spans="1:23" x14ac:dyDescent="0.35">
      <c r="A32" t="s">
        <v>242</v>
      </c>
      <c r="F32" s="3">
        <v>10000000000</v>
      </c>
    </row>
    <row r="33" spans="1:14" x14ac:dyDescent="0.35">
      <c r="E33" s="3"/>
    </row>
    <row r="34" spans="1:14" x14ac:dyDescent="0.35">
      <c r="A34" t="s">
        <v>183</v>
      </c>
      <c r="E34" s="3"/>
      <c r="F34" s="3">
        <f>F25-F32</f>
        <v>19402000000</v>
      </c>
      <c r="M34" s="45">
        <f>F34</f>
        <v>19402000000</v>
      </c>
    </row>
    <row r="35" spans="1:14" x14ac:dyDescent="0.35">
      <c r="A35" t="s">
        <v>27</v>
      </c>
    </row>
    <row r="36" spans="1:14" x14ac:dyDescent="0.35">
      <c r="A36" t="s">
        <v>17</v>
      </c>
      <c r="B36">
        <v>3121070</v>
      </c>
    </row>
    <row r="37" spans="1:14" x14ac:dyDescent="0.35">
      <c r="A37" t="s">
        <v>18</v>
      </c>
      <c r="B37">
        <v>10369255</v>
      </c>
    </row>
    <row r="38" spans="1:14" x14ac:dyDescent="0.35">
      <c r="A38" t="s">
        <v>26</v>
      </c>
      <c r="B38">
        <v>13490325</v>
      </c>
    </row>
    <row r="39" spans="1:14" x14ac:dyDescent="0.35">
      <c r="A39" s="1" t="s">
        <v>199</v>
      </c>
      <c r="N39" t="s">
        <v>179</v>
      </c>
    </row>
    <row r="40" spans="1:14" x14ac:dyDescent="0.35">
      <c r="B40" s="4"/>
      <c r="C40" s="4"/>
      <c r="D40" s="4"/>
      <c r="E40" s="4"/>
      <c r="F40" s="4"/>
      <c r="G40" s="4"/>
      <c r="H40" s="36"/>
      <c r="I40" s="4"/>
      <c r="J40" s="4"/>
      <c r="K40" s="4"/>
    </row>
    <row r="41" spans="1:14" x14ac:dyDescent="0.35">
      <c r="A41" t="s">
        <v>217</v>
      </c>
      <c r="B41" s="4">
        <f>C10</f>
        <v>1500</v>
      </c>
      <c r="C41" s="4">
        <f>4/5*($D$4*C50+$D$5)+(0.2*$C$10)</f>
        <v>6669.3333333333339</v>
      </c>
      <c r="D41" s="4">
        <f>$D$4*D50+$D$5</f>
        <v>7684</v>
      </c>
      <c r="E41" s="4">
        <f>$D$4*E50+$D$5</f>
        <v>7440.3333333333339</v>
      </c>
      <c r="F41" s="4">
        <f t="shared" ref="F41:K41" si="0">$D$4*F50+$D$5</f>
        <v>7100.3333333333339</v>
      </c>
      <c r="G41" s="4">
        <f t="shared" si="0"/>
        <v>6709.3333333333339</v>
      </c>
      <c r="H41" s="4">
        <f t="shared" si="0"/>
        <v>6239</v>
      </c>
      <c r="I41" s="4">
        <f t="shared" si="0"/>
        <v>5683.666666666667</v>
      </c>
      <c r="J41" s="4">
        <f t="shared" si="0"/>
        <v>4845</v>
      </c>
      <c r="K41" s="4">
        <f t="shared" si="0"/>
        <v>2051.3333333333339</v>
      </c>
      <c r="N41" s="3">
        <f>SUM(C41:K41)*B38/10</f>
        <v>73417496392.5</v>
      </c>
    </row>
    <row r="42" spans="1:14" x14ac:dyDescent="0.35">
      <c r="A42" t="s">
        <v>202</v>
      </c>
      <c r="N42" s="3">
        <f>E10</f>
        <v>5915267280</v>
      </c>
    </row>
    <row r="43" spans="1:14" x14ac:dyDescent="0.35">
      <c r="A43" t="s">
        <v>7</v>
      </c>
      <c r="N43" s="3">
        <f>E11</f>
        <v>4410300000</v>
      </c>
    </row>
    <row r="44" spans="1:14" x14ac:dyDescent="0.35">
      <c r="A44" t="s">
        <v>241</v>
      </c>
      <c r="N44" s="3">
        <f>B22*(C9-D2)</f>
        <v>1640000000</v>
      </c>
    </row>
    <row r="45" spans="1:14" x14ac:dyDescent="0.35">
      <c r="A45" s="8" t="s">
        <v>201</v>
      </c>
      <c r="B45" s="8"/>
      <c r="C45" s="8"/>
      <c r="D45" s="8"/>
      <c r="E45" s="8"/>
      <c r="F45" s="8"/>
      <c r="G45" s="8"/>
      <c r="H45" s="8"/>
      <c r="I45" s="8"/>
      <c r="J45" s="8"/>
      <c r="K45" s="8"/>
      <c r="L45" s="8"/>
      <c r="M45" s="8"/>
      <c r="N45" s="13">
        <f>SUM(N41:N44)</f>
        <v>85383063672.5</v>
      </c>
    </row>
    <row r="47" spans="1:14" ht="18.5" x14ac:dyDescent="0.45">
      <c r="A47" s="5" t="s">
        <v>34</v>
      </c>
    </row>
    <row r="48" spans="1:14" x14ac:dyDescent="0.35">
      <c r="A48" t="s">
        <v>19</v>
      </c>
      <c r="B48">
        <v>1</v>
      </c>
      <c r="C48">
        <v>2</v>
      </c>
      <c r="D48">
        <v>3</v>
      </c>
      <c r="E48">
        <v>4</v>
      </c>
      <c r="F48">
        <v>5</v>
      </c>
      <c r="G48">
        <v>6</v>
      </c>
      <c r="H48">
        <v>7</v>
      </c>
      <c r="I48">
        <v>8</v>
      </c>
      <c r="J48">
        <v>9</v>
      </c>
      <c r="K48">
        <v>10</v>
      </c>
    </row>
    <row r="49" spans="1:19" x14ac:dyDescent="0.35">
      <c r="A49" s="1" t="s">
        <v>124</v>
      </c>
    </row>
    <row r="50" spans="1:19" x14ac:dyDescent="0.35">
      <c r="A50" t="s">
        <v>64</v>
      </c>
      <c r="B50" s="4">
        <v>2400</v>
      </c>
      <c r="C50" s="4">
        <v>9500</v>
      </c>
      <c r="D50" s="4">
        <v>14400</v>
      </c>
      <c r="E50" s="4">
        <v>18700</v>
      </c>
      <c r="F50" s="4">
        <v>24700</v>
      </c>
      <c r="G50" s="4">
        <v>31600</v>
      </c>
      <c r="H50" s="36">
        <v>39900</v>
      </c>
      <c r="I50" s="4">
        <v>49700</v>
      </c>
      <c r="J50" s="4">
        <v>64500</v>
      </c>
      <c r="K50" s="4">
        <v>113800</v>
      </c>
    </row>
    <row r="51" spans="1:19" x14ac:dyDescent="0.35">
      <c r="A51" t="s">
        <v>22</v>
      </c>
      <c r="B51" s="4"/>
      <c r="C51" s="4"/>
      <c r="D51" s="4"/>
      <c r="E51" s="4"/>
      <c r="F51" s="4"/>
      <c r="G51" s="4"/>
      <c r="H51" s="4"/>
      <c r="I51" s="4"/>
      <c r="J51" s="4"/>
      <c r="K51" s="4"/>
    </row>
    <row r="52" spans="1:19" x14ac:dyDescent="0.35">
      <c r="A52" t="s">
        <v>20</v>
      </c>
      <c r="B52" s="4">
        <f t="shared" ref="B52:K52" si="1">IF(B50&lt;68507,37.35%*B50,(37.35%*68507+(B50-68507)*49.5%))</f>
        <v>896.4</v>
      </c>
      <c r="C52" s="4">
        <f t="shared" si="1"/>
        <v>3548.25</v>
      </c>
      <c r="D52" s="4">
        <f t="shared" si="1"/>
        <v>5378.4</v>
      </c>
      <c r="E52" s="4">
        <f t="shared" si="1"/>
        <v>6984.45</v>
      </c>
      <c r="F52" s="4">
        <f t="shared" si="1"/>
        <v>9225.4500000000007</v>
      </c>
      <c r="G52" s="4">
        <f t="shared" si="1"/>
        <v>11802.6</v>
      </c>
      <c r="H52" s="4">
        <f t="shared" si="1"/>
        <v>14902.65</v>
      </c>
      <c r="I52" s="4">
        <f t="shared" si="1"/>
        <v>18562.95</v>
      </c>
      <c r="J52" s="4">
        <f t="shared" si="1"/>
        <v>24090.75</v>
      </c>
      <c r="K52" s="4">
        <f t="shared" si="1"/>
        <v>48007.3995</v>
      </c>
    </row>
    <row r="53" spans="1:19" x14ac:dyDescent="0.35">
      <c r="A53" t="s">
        <v>21</v>
      </c>
      <c r="B53" s="4">
        <f t="shared" ref="B53:K53" si="2">IF(B50&lt;20711,2711,IF(B50&lt;68507,(2711-0.05672*(B50-20711)),0))</f>
        <v>2711</v>
      </c>
      <c r="C53" s="4">
        <f t="shared" si="2"/>
        <v>2711</v>
      </c>
      <c r="D53" s="4">
        <f t="shared" si="2"/>
        <v>2711</v>
      </c>
      <c r="E53" s="4">
        <f t="shared" si="2"/>
        <v>2711</v>
      </c>
      <c r="F53" s="4">
        <f t="shared" si="2"/>
        <v>2484.7439199999999</v>
      </c>
      <c r="G53" s="4">
        <f t="shared" si="2"/>
        <v>2093.37592</v>
      </c>
      <c r="H53" s="4">
        <f t="shared" si="2"/>
        <v>1622.5999200000001</v>
      </c>
      <c r="I53" s="4">
        <f t="shared" si="2"/>
        <v>1066.7439200000001</v>
      </c>
      <c r="J53" s="4">
        <f t="shared" si="2"/>
        <v>227.28792000000021</v>
      </c>
      <c r="K53" s="4">
        <f t="shared" si="2"/>
        <v>0</v>
      </c>
      <c r="R53" t="s">
        <v>76</v>
      </c>
    </row>
    <row r="54" spans="1:19" x14ac:dyDescent="0.35">
      <c r="A54" t="s">
        <v>23</v>
      </c>
      <c r="B54" s="4">
        <f t="shared" ref="B54:K54" si="3">IF(B50&lt;9921,0.02812*B50,IF(B50&lt;21430,279+0.28812*(B50-9921),IF(B50&lt;34954,3595+0.01656*(B50-21430),IF(B50&lt;98604,3819-0.06*(B50-34954),0))))</f>
        <v>67.488</v>
      </c>
      <c r="C54" s="4">
        <f t="shared" si="3"/>
        <v>267.14</v>
      </c>
      <c r="D54" s="4">
        <f t="shared" si="3"/>
        <v>1569.48948</v>
      </c>
      <c r="E54" s="4">
        <f t="shared" si="3"/>
        <v>2808.4054799999999</v>
      </c>
      <c r="F54" s="4">
        <f t="shared" si="3"/>
        <v>3649.1511999999998</v>
      </c>
      <c r="G54" s="4">
        <f t="shared" si="3"/>
        <v>3763.4151999999999</v>
      </c>
      <c r="H54" s="4">
        <f t="shared" si="3"/>
        <v>3522.24</v>
      </c>
      <c r="I54" s="4">
        <f t="shared" si="3"/>
        <v>2934.24</v>
      </c>
      <c r="J54" s="4">
        <f t="shared" si="3"/>
        <v>2046.24</v>
      </c>
      <c r="K54" s="4">
        <f t="shared" si="3"/>
        <v>0</v>
      </c>
      <c r="O54" t="s">
        <v>74</v>
      </c>
      <c r="R54" s="10">
        <f>K50/SUM(B50:K50)*100%</f>
        <v>0.30823401950162516</v>
      </c>
      <c r="S54" s="10"/>
    </row>
    <row r="55" spans="1:19" x14ac:dyDescent="0.35">
      <c r="A55" t="s">
        <v>24</v>
      </c>
      <c r="B55" s="4">
        <f>IF(B52-B53-B54&lt;0,0,B52-B53-B54)</f>
        <v>0</v>
      </c>
      <c r="C55" s="4">
        <f t="shared" ref="C55:K55" si="4">IF(C52-C53-C54&lt;0,0,C52-C53-C54)</f>
        <v>570.11</v>
      </c>
      <c r="D55" s="4">
        <f t="shared" si="4"/>
        <v>1097.9105199999997</v>
      </c>
      <c r="E55" s="4">
        <f t="shared" si="4"/>
        <v>1465.0445199999999</v>
      </c>
      <c r="F55" s="4">
        <f t="shared" si="4"/>
        <v>3091.554880000001</v>
      </c>
      <c r="G55" s="4">
        <f t="shared" si="4"/>
        <v>5945.8088800000005</v>
      </c>
      <c r="H55" s="4">
        <f t="shared" si="4"/>
        <v>9757.8100799999993</v>
      </c>
      <c r="I55" s="4">
        <f t="shared" si="4"/>
        <v>14561.96608</v>
      </c>
      <c r="J55" s="4">
        <f t="shared" si="4"/>
        <v>21817.22208</v>
      </c>
      <c r="K55" s="4">
        <f t="shared" si="4"/>
        <v>48007.3995</v>
      </c>
      <c r="M55" s="3">
        <f>($B$37/10)*SUM(B55:K55)</f>
        <v>110240554667.40279</v>
      </c>
      <c r="O55" t="s">
        <v>75</v>
      </c>
      <c r="R55" s="10">
        <f>SUM(B50:F50)/SUM(B50:K50)</f>
        <v>0.18878656554712892</v>
      </c>
      <c r="S55" s="10"/>
    </row>
    <row r="56" spans="1:19" x14ac:dyDescent="0.35">
      <c r="A56" t="s">
        <v>25</v>
      </c>
      <c r="B56" s="4">
        <f t="shared" ref="B56:K56" si="5">B50-B55</f>
        <v>2400</v>
      </c>
      <c r="C56" s="4">
        <f t="shared" si="5"/>
        <v>8929.89</v>
      </c>
      <c r="D56" s="4">
        <f t="shared" si="5"/>
        <v>13302.089480000001</v>
      </c>
      <c r="E56" s="4">
        <f t="shared" si="5"/>
        <v>17234.955480000001</v>
      </c>
      <c r="F56" s="4">
        <f t="shared" si="5"/>
        <v>21608.44512</v>
      </c>
      <c r="G56" s="4">
        <f t="shared" si="5"/>
        <v>25654.19112</v>
      </c>
      <c r="H56" s="4">
        <f t="shared" si="5"/>
        <v>30142.189920000001</v>
      </c>
      <c r="I56" s="4">
        <f t="shared" si="5"/>
        <v>35138.033920000002</v>
      </c>
      <c r="J56" s="4">
        <f t="shared" si="5"/>
        <v>42682.77792</v>
      </c>
      <c r="K56" s="4">
        <f t="shared" si="5"/>
        <v>65792.6005</v>
      </c>
    </row>
    <row r="57" spans="1:19" x14ac:dyDescent="0.35">
      <c r="A57" t="s">
        <v>65</v>
      </c>
      <c r="B57" s="4"/>
      <c r="C57" s="4">
        <f>C56</f>
        <v>8929.89</v>
      </c>
      <c r="D57" s="4">
        <f t="shared" ref="D57:I57" si="6">D56</f>
        <v>13302.089480000001</v>
      </c>
      <c r="E57" s="4">
        <f t="shared" si="6"/>
        <v>17234.955480000001</v>
      </c>
      <c r="F57" s="4">
        <f t="shared" si="6"/>
        <v>21608.44512</v>
      </c>
      <c r="G57" s="4">
        <f t="shared" si="6"/>
        <v>25654.19112</v>
      </c>
      <c r="H57" s="4">
        <f t="shared" si="6"/>
        <v>30142.189920000001</v>
      </c>
      <c r="I57" s="4">
        <f t="shared" si="6"/>
        <v>35138.033920000002</v>
      </c>
      <c r="J57" s="4"/>
      <c r="K57" s="4"/>
    </row>
    <row r="58" spans="1:19" x14ac:dyDescent="0.35">
      <c r="B58" s="3"/>
      <c r="C58" s="3"/>
      <c r="D58" s="3"/>
      <c r="E58" s="3"/>
      <c r="F58" s="3"/>
      <c r="G58" s="3"/>
      <c r="H58" s="3"/>
      <c r="I58" s="3"/>
      <c r="J58" s="3"/>
      <c r="K58" s="3"/>
    </row>
    <row r="59" spans="1:19" x14ac:dyDescent="0.35">
      <c r="A59" t="s">
        <v>30</v>
      </c>
      <c r="B59" s="3"/>
      <c r="C59" s="3"/>
      <c r="J59" s="3"/>
      <c r="K59" s="3"/>
    </row>
    <row r="60" spans="1:19" x14ac:dyDescent="0.35">
      <c r="A60" t="s">
        <v>120</v>
      </c>
      <c r="B60" s="3"/>
      <c r="C60" s="3"/>
      <c r="D60" s="4">
        <f t="shared" ref="D60:J60" si="7">D50</f>
        <v>14400</v>
      </c>
      <c r="E60" s="4">
        <f t="shared" si="7"/>
        <v>18700</v>
      </c>
      <c r="F60" s="4">
        <f t="shared" si="7"/>
        <v>24700</v>
      </c>
      <c r="G60" s="4">
        <f t="shared" si="7"/>
        <v>31600</v>
      </c>
      <c r="H60" s="4">
        <f t="shared" si="7"/>
        <v>39900</v>
      </c>
      <c r="I60" s="4">
        <f t="shared" si="7"/>
        <v>49700</v>
      </c>
      <c r="J60" s="4">
        <f t="shared" si="7"/>
        <v>64500</v>
      </c>
      <c r="K60" s="3"/>
    </row>
    <row r="61" spans="1:19" x14ac:dyDescent="0.35">
      <c r="A61" t="s">
        <v>31</v>
      </c>
      <c r="B61" s="3"/>
      <c r="C61" s="3"/>
      <c r="D61" s="4">
        <f t="shared" ref="D61:J61" si="8">IF(D60&lt;35376,19.45%*D60,IF(D60&lt;68507,6880+(D60-35376)*37.35%,6880+12374+(D60-68507)*49.5%))</f>
        <v>2800.8</v>
      </c>
      <c r="E61" s="4">
        <f t="shared" si="8"/>
        <v>3637.15</v>
      </c>
      <c r="F61" s="4">
        <f t="shared" si="8"/>
        <v>4804.1500000000005</v>
      </c>
      <c r="G61" s="4">
        <f t="shared" si="8"/>
        <v>6146.2</v>
      </c>
      <c r="H61" s="4">
        <f t="shared" si="8"/>
        <v>8569.7139999999999</v>
      </c>
      <c r="I61" s="4">
        <f t="shared" si="8"/>
        <v>12230.013999999999</v>
      </c>
      <c r="J61" s="4">
        <f t="shared" si="8"/>
        <v>17757.813999999998</v>
      </c>
      <c r="K61" s="3"/>
    </row>
    <row r="62" spans="1:19" x14ac:dyDescent="0.35">
      <c r="A62" t="s">
        <v>21</v>
      </c>
      <c r="B62" s="3"/>
      <c r="C62" s="3"/>
      <c r="D62" s="4">
        <f>IF(D60&lt;20711,1413,IF(D60&lt;68507,(1413-0.02954*(D60-20711)),0))</f>
        <v>1413</v>
      </c>
      <c r="E62" s="4">
        <f t="shared" ref="E62:J62" si="9">IF(E60&lt;20711,1413,IF(E60&lt;68507,(1413-0.02954*(E60-20711)),0))</f>
        <v>1413</v>
      </c>
      <c r="F62" s="4">
        <f t="shared" si="9"/>
        <v>1295.1649400000001</v>
      </c>
      <c r="G62" s="4">
        <f t="shared" si="9"/>
        <v>1091.3389400000001</v>
      </c>
      <c r="H62" s="4">
        <f t="shared" si="9"/>
        <v>846.15693999999996</v>
      </c>
      <c r="I62" s="4">
        <f t="shared" si="9"/>
        <v>556.66494</v>
      </c>
      <c r="J62" s="4">
        <f t="shared" si="9"/>
        <v>119.47293999999988</v>
      </c>
      <c r="K62" s="3"/>
    </row>
    <row r="63" spans="1:19" x14ac:dyDescent="0.35">
      <c r="A63" t="s">
        <v>35</v>
      </c>
      <c r="B63" s="3"/>
      <c r="C63" s="3"/>
      <c r="D63" s="4">
        <f>IF(D60&lt;37372,1622,IF(D60&lt;37372,1622-0.15*(D60-37372),0))</f>
        <v>1622</v>
      </c>
      <c r="E63" s="4">
        <f t="shared" ref="E63:J63" si="10">IF(E60&lt;37372,1622,IF(E60&lt;37372,1622-0.15*(E60-37372),0))</f>
        <v>1622</v>
      </c>
      <c r="F63" s="4">
        <f t="shared" si="10"/>
        <v>1622</v>
      </c>
      <c r="G63" s="4">
        <f t="shared" si="10"/>
        <v>1622</v>
      </c>
      <c r="H63" s="4">
        <f t="shared" si="10"/>
        <v>0</v>
      </c>
      <c r="I63" s="4">
        <f t="shared" si="10"/>
        <v>0</v>
      </c>
      <c r="J63" s="4">
        <f t="shared" si="10"/>
        <v>0</v>
      </c>
      <c r="K63" s="3"/>
    </row>
    <row r="64" spans="1:19" x14ac:dyDescent="0.35">
      <c r="A64" t="s">
        <v>24</v>
      </c>
      <c r="B64" s="3"/>
      <c r="C64" s="3"/>
      <c r="D64" s="4">
        <f t="shared" ref="D64:J64" si="11">IF(D61-D62-D63&lt;0,0,D61-D62-D63)</f>
        <v>0</v>
      </c>
      <c r="E64" s="4">
        <f t="shared" si="11"/>
        <v>602.15000000000009</v>
      </c>
      <c r="F64" s="4">
        <f t="shared" si="11"/>
        <v>1886.9850600000004</v>
      </c>
      <c r="G64" s="4">
        <f t="shared" si="11"/>
        <v>3432.8610599999993</v>
      </c>
      <c r="H64" s="4">
        <f t="shared" si="11"/>
        <v>7723.5570600000001</v>
      </c>
      <c r="I64" s="4">
        <f t="shared" si="11"/>
        <v>11673.349059999999</v>
      </c>
      <c r="J64" s="4">
        <f t="shared" si="11"/>
        <v>17638.341059999999</v>
      </c>
      <c r="K64" s="3"/>
      <c r="M64" s="3">
        <f>($B$36/7)*SUM(D64:J64)</f>
        <v>19153223335.19014</v>
      </c>
    </row>
    <row r="65" spans="1:13" x14ac:dyDescent="0.35">
      <c r="A65" t="s">
        <v>25</v>
      </c>
      <c r="B65" s="3"/>
      <c r="C65" s="3"/>
      <c r="D65" s="4">
        <f>D60-D64</f>
        <v>14400</v>
      </c>
      <c r="E65" s="4">
        <f t="shared" ref="E65:J65" si="12">E60-E64</f>
        <v>18097.849999999999</v>
      </c>
      <c r="F65" s="4">
        <f t="shared" si="12"/>
        <v>22813.014940000001</v>
      </c>
      <c r="G65" s="4">
        <f t="shared" si="12"/>
        <v>28167.138940000001</v>
      </c>
      <c r="H65" s="4">
        <f t="shared" si="12"/>
        <v>32176.442940000001</v>
      </c>
      <c r="I65" s="4">
        <f t="shared" si="12"/>
        <v>38026.65094</v>
      </c>
      <c r="J65" s="4">
        <f t="shared" si="12"/>
        <v>46861.658940000001</v>
      </c>
      <c r="K65" s="3"/>
      <c r="M65" s="3"/>
    </row>
    <row r="66" spans="1:13" x14ac:dyDescent="0.35">
      <c r="B66" s="3"/>
      <c r="C66" s="3"/>
      <c r="D66" s="4"/>
      <c r="E66" s="4"/>
      <c r="F66" s="4"/>
      <c r="G66" s="4"/>
      <c r="H66" s="4"/>
      <c r="I66" s="4"/>
      <c r="J66" s="3"/>
      <c r="K66" s="3"/>
    </row>
    <row r="67" spans="1:13" x14ac:dyDescent="0.35">
      <c r="A67" t="s">
        <v>32</v>
      </c>
      <c r="B67" s="3"/>
      <c r="C67" s="3"/>
      <c r="D67" s="4"/>
      <c r="E67" s="4"/>
      <c r="F67" s="4"/>
      <c r="G67" s="4"/>
      <c r="H67" s="4"/>
      <c r="I67" s="4"/>
      <c r="J67" s="3"/>
      <c r="K67" s="3"/>
      <c r="M67" s="13">
        <f>SUM(M55:M65)</f>
        <v>129393778002.59293</v>
      </c>
    </row>
    <row r="68" spans="1:13" x14ac:dyDescent="0.35">
      <c r="B68" s="3"/>
      <c r="C68" s="3"/>
      <c r="D68" s="4"/>
      <c r="E68" s="4"/>
      <c r="F68" s="4"/>
      <c r="G68" s="4"/>
      <c r="H68" s="4"/>
      <c r="I68" s="4"/>
      <c r="J68" s="3"/>
      <c r="K68" s="3"/>
      <c r="M68" s="3"/>
    </row>
    <row r="69" spans="1:13" x14ac:dyDescent="0.35">
      <c r="A69" t="s">
        <v>109</v>
      </c>
      <c r="B69" s="23">
        <f t="shared" ref="B69:K69" si="13">B55/B50</f>
        <v>0</v>
      </c>
      <c r="C69" s="23">
        <f t="shared" si="13"/>
        <v>6.0011578947368423E-2</v>
      </c>
      <c r="D69" s="23">
        <f t="shared" si="13"/>
        <v>7.6243786111111087E-2</v>
      </c>
      <c r="E69" s="23">
        <f t="shared" si="13"/>
        <v>7.834462673796791E-2</v>
      </c>
      <c r="F69" s="23">
        <f t="shared" si="13"/>
        <v>0.12516416518218629</v>
      </c>
      <c r="G69" s="23">
        <f t="shared" si="13"/>
        <v>0.18815850886075952</v>
      </c>
      <c r="H69" s="23">
        <f t="shared" si="13"/>
        <v>0.24455664360902254</v>
      </c>
      <c r="I69" s="23">
        <f t="shared" si="13"/>
        <v>0.29299730543259556</v>
      </c>
      <c r="J69" s="23">
        <f t="shared" si="13"/>
        <v>0.33825150511627905</v>
      </c>
      <c r="K69" s="23">
        <f t="shared" si="13"/>
        <v>0.42185764059753955</v>
      </c>
      <c r="M69" s="3"/>
    </row>
    <row r="70" spans="1:13" x14ac:dyDescent="0.35">
      <c r="B70" s="3"/>
      <c r="C70" s="3"/>
      <c r="D70" s="3"/>
      <c r="E70" s="3"/>
      <c r="F70" s="3"/>
      <c r="G70" s="3"/>
      <c r="H70" s="3"/>
      <c r="I70" s="3"/>
      <c r="J70" s="3"/>
      <c r="K70" s="3"/>
    </row>
    <row r="71" spans="1:13" ht="18.5" x14ac:dyDescent="0.45">
      <c r="A71" s="5" t="s">
        <v>184</v>
      </c>
    </row>
    <row r="72" spans="1:13" ht="18.5" x14ac:dyDescent="0.45">
      <c r="A72" s="5" t="s">
        <v>22</v>
      </c>
    </row>
    <row r="73" spans="1:13" x14ac:dyDescent="0.35">
      <c r="A73" t="str">
        <f t="shared" ref="A73:K73" si="14">A48</f>
        <v>Deciel</v>
      </c>
      <c r="B73" s="4">
        <f t="shared" si="14"/>
        <v>1</v>
      </c>
      <c r="C73" s="4">
        <f t="shared" si="14"/>
        <v>2</v>
      </c>
      <c r="D73" s="4">
        <f t="shared" si="14"/>
        <v>3</v>
      </c>
      <c r="E73" s="4">
        <f t="shared" si="14"/>
        <v>4</v>
      </c>
      <c r="F73" s="4">
        <f t="shared" si="14"/>
        <v>5</v>
      </c>
      <c r="G73" s="4">
        <f t="shared" si="14"/>
        <v>6</v>
      </c>
      <c r="H73" s="4">
        <f t="shared" si="14"/>
        <v>7</v>
      </c>
      <c r="I73" s="4">
        <f t="shared" si="14"/>
        <v>8</v>
      </c>
      <c r="J73" s="4">
        <f t="shared" si="14"/>
        <v>9</v>
      </c>
      <c r="K73" s="4">
        <f t="shared" si="14"/>
        <v>10</v>
      </c>
    </row>
    <row r="74" spans="1:13" x14ac:dyDescent="0.35">
      <c r="B74" s="4"/>
      <c r="C74" s="4"/>
      <c r="D74" s="4"/>
      <c r="E74" s="4"/>
      <c r="F74" s="4"/>
      <c r="G74" s="4"/>
      <c r="H74" s="4"/>
      <c r="I74" s="4"/>
      <c r="J74" s="4"/>
      <c r="K74" s="4"/>
    </row>
    <row r="75" spans="1:13" x14ac:dyDescent="0.35">
      <c r="A75" t="str">
        <f t="shared" ref="A75:K75" si="15">A50</f>
        <v>Persoonlijk bruto inkomen (CBS, 2018)</v>
      </c>
      <c r="B75" s="4">
        <f t="shared" si="15"/>
        <v>2400</v>
      </c>
      <c r="C75" s="4">
        <f t="shared" si="15"/>
        <v>9500</v>
      </c>
      <c r="D75" s="4">
        <f t="shared" si="15"/>
        <v>14400</v>
      </c>
      <c r="E75" s="4">
        <f t="shared" si="15"/>
        <v>18700</v>
      </c>
      <c r="F75" s="4">
        <f t="shared" si="15"/>
        <v>24700</v>
      </c>
      <c r="G75" s="4">
        <f t="shared" si="15"/>
        <v>31600</v>
      </c>
      <c r="H75" s="4">
        <f t="shared" si="15"/>
        <v>39900</v>
      </c>
      <c r="I75" s="4">
        <f t="shared" si="15"/>
        <v>49700</v>
      </c>
      <c r="J75" s="4">
        <f t="shared" si="15"/>
        <v>64500</v>
      </c>
      <c r="K75" s="4">
        <f t="shared" si="15"/>
        <v>113800</v>
      </c>
    </row>
    <row r="76" spans="1:13" x14ac:dyDescent="0.35">
      <c r="A76" t="s">
        <v>181</v>
      </c>
      <c r="B76" s="4">
        <f t="shared" ref="B76:K76" si="16">B75+B41</f>
        <v>3900</v>
      </c>
      <c r="C76" s="4">
        <f t="shared" si="16"/>
        <v>16169.333333333334</v>
      </c>
      <c r="D76" s="4">
        <f t="shared" si="16"/>
        <v>22084</v>
      </c>
      <c r="E76" s="4">
        <f t="shared" si="16"/>
        <v>26140.333333333336</v>
      </c>
      <c r="F76" s="4">
        <f t="shared" si="16"/>
        <v>31800.333333333336</v>
      </c>
      <c r="G76" s="4">
        <f t="shared" si="16"/>
        <v>38309.333333333336</v>
      </c>
      <c r="H76" s="4">
        <f t="shared" si="16"/>
        <v>46139</v>
      </c>
      <c r="I76" s="4">
        <f t="shared" si="16"/>
        <v>55383.666666666664</v>
      </c>
      <c r="J76" s="4">
        <f t="shared" si="16"/>
        <v>69345</v>
      </c>
      <c r="K76" s="4">
        <f t="shared" si="16"/>
        <v>115851.33333333333</v>
      </c>
    </row>
    <row r="77" spans="1:13" x14ac:dyDescent="0.35">
      <c r="A77" t="str">
        <f t="shared" ref="A77:A82" si="17">A51</f>
        <v>WERKENDEN</v>
      </c>
      <c r="B77" s="4"/>
      <c r="C77" s="4"/>
      <c r="D77" s="4"/>
      <c r="E77" s="4"/>
      <c r="F77" s="4"/>
      <c r="G77" s="4"/>
      <c r="H77" s="4"/>
      <c r="I77" s="4"/>
      <c r="J77" s="4"/>
      <c r="K77" s="4"/>
    </row>
    <row r="78" spans="1:13" x14ac:dyDescent="0.35">
      <c r="A78" t="str">
        <f t="shared" si="17"/>
        <v>IB werkenden (37,35%&lt;68507&lt;49,5%0</v>
      </c>
      <c r="B78" s="4">
        <f>IF(B76&lt;68507,37.35%*B76,(37.35%*68507+(B76-68507)*49.5%))</f>
        <v>1456.65</v>
      </c>
      <c r="C78" s="4">
        <f t="shared" ref="C78:K78" si="18">IF(C76&lt;68507,37.35%*C76,(37.35%*68507+(C76-68507)*49.5%))</f>
        <v>6039.2460000000001</v>
      </c>
      <c r="D78" s="4">
        <f t="shared" si="18"/>
        <v>8248.3739999999998</v>
      </c>
      <c r="E78" s="4">
        <f t="shared" si="18"/>
        <v>9763.4145000000008</v>
      </c>
      <c r="F78" s="4">
        <f t="shared" si="18"/>
        <v>11877.424500000001</v>
      </c>
      <c r="G78" s="4">
        <f t="shared" si="18"/>
        <v>14308.536</v>
      </c>
      <c r="H78" s="4">
        <f t="shared" si="18"/>
        <v>17232.916499999999</v>
      </c>
      <c r="I78" s="4">
        <f t="shared" si="18"/>
        <v>20685.799499999997</v>
      </c>
      <c r="J78" s="4">
        <f t="shared" si="18"/>
        <v>26002.174500000001</v>
      </c>
      <c r="K78" s="4">
        <f t="shared" si="18"/>
        <v>49022.809499999996</v>
      </c>
    </row>
    <row r="79" spans="1:13" x14ac:dyDescent="0.35">
      <c r="A79" t="str">
        <f t="shared" si="17"/>
        <v>Algemene Heffingskorting</v>
      </c>
      <c r="B79" s="4">
        <f t="shared" ref="B79:K79" si="19">IF(B76&lt;20711,2711,IF(B76&lt;68507,(2711-0.05672*(B76-20711)),0))</f>
        <v>2711</v>
      </c>
      <c r="C79" s="4">
        <f t="shared" si="19"/>
        <v>2711</v>
      </c>
      <c r="D79" s="4">
        <f t="shared" si="19"/>
        <v>2633.1234399999998</v>
      </c>
      <c r="E79" s="4">
        <f t="shared" si="19"/>
        <v>2403.048213333333</v>
      </c>
      <c r="F79" s="4">
        <f t="shared" si="19"/>
        <v>2082.0130133333332</v>
      </c>
      <c r="G79" s="4">
        <f t="shared" si="19"/>
        <v>1712.8225333333332</v>
      </c>
      <c r="H79" s="4">
        <f t="shared" si="19"/>
        <v>1268.7238400000001</v>
      </c>
      <c r="I79" s="4">
        <f t="shared" si="19"/>
        <v>744.36634666666691</v>
      </c>
      <c r="J79" s="4">
        <f t="shared" si="19"/>
        <v>0</v>
      </c>
      <c r="K79" s="4">
        <f t="shared" si="19"/>
        <v>0</v>
      </c>
    </row>
    <row r="80" spans="1:13" x14ac:dyDescent="0.35">
      <c r="A80" t="str">
        <f t="shared" si="17"/>
        <v>Arbeidskorting</v>
      </c>
      <c r="B80" s="4">
        <f t="shared" ref="B80:K80" si="20">IF(B76&lt;9921,0.02812*B76,IF(B76&lt;21430,279+0.28812*(B76-9921),IF(B76&lt;34954,3595+0.01656*(B76-21430),IF(B76&lt;98604,3819-0.06*(B76-34954),0))))</f>
        <v>109.66799999999999</v>
      </c>
      <c r="C80" s="4">
        <f t="shared" si="20"/>
        <v>2079.2698</v>
      </c>
      <c r="D80" s="4">
        <f t="shared" si="20"/>
        <v>3605.8302399999998</v>
      </c>
      <c r="E80" s="4">
        <f t="shared" si="20"/>
        <v>3673.0031199999999</v>
      </c>
      <c r="F80" s="4">
        <f t="shared" si="20"/>
        <v>3766.73272</v>
      </c>
      <c r="G80" s="4">
        <f t="shared" si="20"/>
        <v>3617.68</v>
      </c>
      <c r="H80" s="4">
        <f t="shared" si="20"/>
        <v>3147.9</v>
      </c>
      <c r="I80" s="4">
        <f t="shared" si="20"/>
        <v>2593.2200000000003</v>
      </c>
      <c r="J80" s="4">
        <f t="shared" si="20"/>
        <v>1755.54</v>
      </c>
      <c r="K80" s="4">
        <f t="shared" si="20"/>
        <v>0</v>
      </c>
    </row>
    <row r="81" spans="1:27" x14ac:dyDescent="0.35">
      <c r="A81" t="str">
        <f t="shared" si="17"/>
        <v>Netto Belasting</v>
      </c>
      <c r="B81" s="4">
        <v>0</v>
      </c>
      <c r="C81" s="4">
        <f t="shared" ref="C81:K81" si="21">C78-C79-C80</f>
        <v>1248.9762000000001</v>
      </c>
      <c r="D81" s="4">
        <f t="shared" si="21"/>
        <v>2009.4203200000006</v>
      </c>
      <c r="E81" s="4">
        <f t="shared" si="21"/>
        <v>3687.3631666666674</v>
      </c>
      <c r="F81" s="4">
        <f t="shared" si="21"/>
        <v>6028.6787666666678</v>
      </c>
      <c r="G81" s="4">
        <f t="shared" si="21"/>
        <v>8978.0334666666658</v>
      </c>
      <c r="H81" s="4">
        <f t="shared" si="21"/>
        <v>12816.292659999999</v>
      </c>
      <c r="I81" s="4">
        <f t="shared" si="21"/>
        <v>17348.21315333333</v>
      </c>
      <c r="J81" s="4">
        <f t="shared" si="21"/>
        <v>24246.6345</v>
      </c>
      <c r="K81" s="4">
        <f t="shared" si="21"/>
        <v>49022.809499999996</v>
      </c>
      <c r="M81" s="3">
        <f>($B$37/10)*SUM(B81:K81)</f>
        <v>130016378049.04752</v>
      </c>
    </row>
    <row r="82" spans="1:27" x14ac:dyDescent="0.35">
      <c r="A82" t="str">
        <f t="shared" si="17"/>
        <v>Besteedbaar inkomen</v>
      </c>
      <c r="B82" s="4">
        <f>B76-B81</f>
        <v>3900</v>
      </c>
      <c r="C82" s="4">
        <f t="shared" ref="C82:K82" si="22">C76-C81</f>
        <v>14920.357133333335</v>
      </c>
      <c r="D82" s="4">
        <f t="shared" si="22"/>
        <v>20074.579679999999</v>
      </c>
      <c r="E82" s="4">
        <f t="shared" si="22"/>
        <v>22452.97016666667</v>
      </c>
      <c r="F82" s="4">
        <f t="shared" si="22"/>
        <v>25771.654566666668</v>
      </c>
      <c r="G82" s="4">
        <f t="shared" si="22"/>
        <v>29331.299866666668</v>
      </c>
      <c r="H82" s="4">
        <f t="shared" si="22"/>
        <v>33322.707340000001</v>
      </c>
      <c r="I82" s="4">
        <f t="shared" si="22"/>
        <v>38035.453513333334</v>
      </c>
      <c r="J82" s="4">
        <f t="shared" si="22"/>
        <v>45098.3655</v>
      </c>
      <c r="K82" s="4">
        <f t="shared" si="22"/>
        <v>66828.52383333334</v>
      </c>
    </row>
    <row r="84" spans="1:27" x14ac:dyDescent="0.35">
      <c r="A84" t="s">
        <v>30</v>
      </c>
    </row>
    <row r="85" spans="1:27" x14ac:dyDescent="0.35">
      <c r="A85" t="s">
        <v>16</v>
      </c>
      <c r="D85" s="4">
        <f>D76</f>
        <v>22084</v>
      </c>
      <c r="E85" s="4">
        <f t="shared" ref="E85:J85" si="23">E76</f>
        <v>26140.333333333336</v>
      </c>
      <c r="F85" s="4">
        <f t="shared" si="23"/>
        <v>31800.333333333336</v>
      </c>
      <c r="G85" s="4">
        <f t="shared" si="23"/>
        <v>38309.333333333336</v>
      </c>
      <c r="H85" s="4">
        <f t="shared" si="23"/>
        <v>46139</v>
      </c>
      <c r="I85" s="4">
        <f t="shared" si="23"/>
        <v>55383.666666666664</v>
      </c>
      <c r="J85" s="4">
        <f t="shared" si="23"/>
        <v>69345</v>
      </c>
      <c r="K85" s="4"/>
      <c r="Q85" t="s">
        <v>78</v>
      </c>
    </row>
    <row r="86" spans="1:27" x14ac:dyDescent="0.35">
      <c r="A86" t="s">
        <v>31</v>
      </c>
      <c r="D86" s="4">
        <f>IF(D85&lt;35376,19.45%*D85,IF(D85&lt;68507,6880+(D85-35376)*37.35%,6880+12374+(D85-68507)*49.5%))</f>
        <v>4295.3379999999997</v>
      </c>
      <c r="E86" s="4">
        <f t="shared" ref="E86:J86" si="24">IF(E85&lt;35376,19.45%*E85,IF(E85&lt;68507,6880+(E85-35376)*37.35%,6880+12374+(E85-68507)*49.5%))</f>
        <v>5084.2948333333343</v>
      </c>
      <c r="F86" s="4">
        <f t="shared" si="24"/>
        <v>6185.1648333333342</v>
      </c>
      <c r="G86" s="4">
        <f t="shared" si="24"/>
        <v>7975.6</v>
      </c>
      <c r="H86" s="4">
        <f t="shared" si="24"/>
        <v>10899.9805</v>
      </c>
      <c r="I86" s="4">
        <f t="shared" si="24"/>
        <v>14352.863499999999</v>
      </c>
      <c r="J86" s="4">
        <f t="shared" si="24"/>
        <v>19668.810000000001</v>
      </c>
      <c r="K86" s="4"/>
      <c r="Q86" t="s">
        <v>19</v>
      </c>
      <c r="R86">
        <f t="shared" ref="R86:AA86" si="25">B48</f>
        <v>1</v>
      </c>
      <c r="S86">
        <f t="shared" si="25"/>
        <v>2</v>
      </c>
      <c r="T86">
        <f t="shared" si="25"/>
        <v>3</v>
      </c>
      <c r="U86">
        <f t="shared" si="25"/>
        <v>4</v>
      </c>
      <c r="V86">
        <f t="shared" si="25"/>
        <v>5</v>
      </c>
      <c r="W86">
        <f t="shared" si="25"/>
        <v>6</v>
      </c>
      <c r="X86">
        <f t="shared" si="25"/>
        <v>7</v>
      </c>
      <c r="Y86">
        <f t="shared" si="25"/>
        <v>8</v>
      </c>
      <c r="Z86">
        <f t="shared" si="25"/>
        <v>9</v>
      </c>
      <c r="AA86">
        <f t="shared" si="25"/>
        <v>10</v>
      </c>
    </row>
    <row r="87" spans="1:27" x14ac:dyDescent="0.35">
      <c r="A87" t="s">
        <v>21</v>
      </c>
      <c r="D87" s="4">
        <f t="shared" ref="D87:J87" si="26">IF(D85&lt;20711,1413,IF(D85&lt;68507,(1413-0.02954*(D85-20711)),0))</f>
        <v>1372.4415799999999</v>
      </c>
      <c r="E87" s="4">
        <f t="shared" si="26"/>
        <v>1252.6174933333332</v>
      </c>
      <c r="F87" s="4">
        <f t="shared" si="26"/>
        <v>1085.4210933333334</v>
      </c>
      <c r="G87" s="4">
        <f t="shared" si="26"/>
        <v>893.14523333333329</v>
      </c>
      <c r="H87" s="4">
        <f t="shared" si="26"/>
        <v>661.85688000000005</v>
      </c>
      <c r="I87" s="4">
        <f t="shared" si="26"/>
        <v>388.76942666666673</v>
      </c>
      <c r="J87" s="4">
        <f t="shared" si="26"/>
        <v>0</v>
      </c>
      <c r="Q87" s="26" t="s">
        <v>79</v>
      </c>
      <c r="R87" s="14"/>
      <c r="S87" s="14"/>
      <c r="T87" s="14"/>
      <c r="U87" s="14"/>
      <c r="V87" s="14"/>
      <c r="W87" s="14"/>
      <c r="X87" s="14"/>
      <c r="Y87" s="14"/>
      <c r="Z87" s="14"/>
      <c r="AA87" s="14"/>
    </row>
    <row r="88" spans="1:27" x14ac:dyDescent="0.35">
      <c r="A88" t="s">
        <v>35</v>
      </c>
      <c r="D88">
        <f t="shared" ref="D88:J88" si="27">IF(D85&lt;37372,1622,IF(D85&lt;37372,1622-0.15*(D85-37372),0))</f>
        <v>1622</v>
      </c>
      <c r="E88">
        <f t="shared" si="27"/>
        <v>1622</v>
      </c>
      <c r="F88">
        <f t="shared" si="27"/>
        <v>1622</v>
      </c>
      <c r="G88">
        <f t="shared" si="27"/>
        <v>0</v>
      </c>
      <c r="H88">
        <f t="shared" si="27"/>
        <v>0</v>
      </c>
      <c r="I88">
        <f t="shared" si="27"/>
        <v>0</v>
      </c>
      <c r="J88">
        <f t="shared" si="27"/>
        <v>0</v>
      </c>
      <c r="Q88" s="14" t="s">
        <v>119</v>
      </c>
      <c r="R88" s="27">
        <f t="shared" ref="R88:AA88" si="28">B50</f>
        <v>2400</v>
      </c>
      <c r="S88" s="27">
        <f t="shared" si="28"/>
        <v>9500</v>
      </c>
      <c r="T88" s="27">
        <f t="shared" si="28"/>
        <v>14400</v>
      </c>
      <c r="U88" s="27">
        <f t="shared" si="28"/>
        <v>18700</v>
      </c>
      <c r="V88" s="27">
        <f t="shared" si="28"/>
        <v>24700</v>
      </c>
      <c r="W88" s="27">
        <f t="shared" si="28"/>
        <v>31600</v>
      </c>
      <c r="X88" s="27">
        <f t="shared" si="28"/>
        <v>39900</v>
      </c>
      <c r="Y88" s="27">
        <f t="shared" si="28"/>
        <v>49700</v>
      </c>
      <c r="Z88" s="27">
        <f t="shared" si="28"/>
        <v>64500</v>
      </c>
      <c r="AA88" s="27">
        <f t="shared" si="28"/>
        <v>113800</v>
      </c>
    </row>
    <row r="89" spans="1:27" x14ac:dyDescent="0.35">
      <c r="A89" t="s">
        <v>24</v>
      </c>
      <c r="D89" s="4">
        <f t="shared" ref="D89:J89" si="29">IF(D86-D87-D88&lt;0,0,D86-D87-D88)</f>
        <v>1300.89642</v>
      </c>
      <c r="E89" s="4">
        <f t="shared" si="29"/>
        <v>2209.6773400000011</v>
      </c>
      <c r="F89" s="4">
        <f t="shared" si="29"/>
        <v>3477.7437400000008</v>
      </c>
      <c r="G89" s="4">
        <f t="shared" si="29"/>
        <v>7082.4547666666667</v>
      </c>
      <c r="H89" s="4">
        <f t="shared" si="29"/>
        <v>10238.12362</v>
      </c>
      <c r="I89" s="4">
        <f t="shared" si="29"/>
        <v>13964.094073333334</v>
      </c>
      <c r="J89" s="4">
        <f t="shared" si="29"/>
        <v>19668.810000000001</v>
      </c>
      <c r="M89" s="3">
        <f>($B$36/7)*SUM(D89:J89)</f>
        <v>25834344800.165314</v>
      </c>
      <c r="Q89" s="14" t="s">
        <v>82</v>
      </c>
      <c r="R89" s="27">
        <f t="shared" ref="R89:AA89" si="30">B56</f>
        <v>2400</v>
      </c>
      <c r="S89" s="27">
        <f t="shared" si="30"/>
        <v>8929.89</v>
      </c>
      <c r="T89" s="27">
        <f t="shared" si="30"/>
        <v>13302.089480000001</v>
      </c>
      <c r="U89" s="27">
        <f t="shared" si="30"/>
        <v>17234.955480000001</v>
      </c>
      <c r="V89" s="27">
        <f t="shared" si="30"/>
        <v>21608.44512</v>
      </c>
      <c r="W89" s="27">
        <f t="shared" si="30"/>
        <v>25654.19112</v>
      </c>
      <c r="X89" s="27">
        <f t="shared" si="30"/>
        <v>30142.189920000001</v>
      </c>
      <c r="Y89" s="27">
        <f t="shared" si="30"/>
        <v>35138.033920000002</v>
      </c>
      <c r="Z89" s="27">
        <f t="shared" si="30"/>
        <v>42682.77792</v>
      </c>
      <c r="AA89" s="27">
        <f t="shared" si="30"/>
        <v>65792.6005</v>
      </c>
    </row>
    <row r="90" spans="1:27" x14ac:dyDescent="0.35">
      <c r="A90" t="s">
        <v>25</v>
      </c>
      <c r="D90" s="4">
        <f>D85-D89</f>
        <v>20783.103579999999</v>
      </c>
      <c r="E90" s="4">
        <f t="shared" ref="E90:J90" si="31">E85-E89</f>
        <v>23930.655993333334</v>
      </c>
      <c r="F90" s="4">
        <f t="shared" si="31"/>
        <v>28322.589593333334</v>
      </c>
      <c r="G90" s="4">
        <f t="shared" si="31"/>
        <v>31226.87856666667</v>
      </c>
      <c r="H90" s="4">
        <f t="shared" si="31"/>
        <v>35900.876380000002</v>
      </c>
      <c r="I90" s="4">
        <f t="shared" si="31"/>
        <v>41419.572593333331</v>
      </c>
      <c r="J90" s="4">
        <f t="shared" si="31"/>
        <v>49676.19</v>
      </c>
      <c r="Q90" s="14" t="s">
        <v>80</v>
      </c>
      <c r="R90" s="14"/>
      <c r="S90" s="14"/>
      <c r="T90" s="27">
        <f t="shared" ref="T90:Z90" si="32">D65</f>
        <v>14400</v>
      </c>
      <c r="U90" s="27">
        <f t="shared" si="32"/>
        <v>18097.849999999999</v>
      </c>
      <c r="V90" s="27">
        <f t="shared" si="32"/>
        <v>22813.014940000001</v>
      </c>
      <c r="W90" s="27">
        <f t="shared" si="32"/>
        <v>28167.138940000001</v>
      </c>
      <c r="X90" s="27">
        <f t="shared" si="32"/>
        <v>32176.442940000001</v>
      </c>
      <c r="Y90" s="27">
        <f t="shared" si="32"/>
        <v>38026.65094</v>
      </c>
      <c r="Z90" s="27">
        <f t="shared" si="32"/>
        <v>46861.658940000001</v>
      </c>
      <c r="AA90" s="14"/>
    </row>
    <row r="91" spans="1:27" x14ac:dyDescent="0.35">
      <c r="Q91" s="33" t="s">
        <v>81</v>
      </c>
      <c r="R91" s="33"/>
      <c r="S91" s="33"/>
      <c r="T91" s="33"/>
      <c r="U91" s="33"/>
      <c r="V91" s="33"/>
      <c r="W91" s="33"/>
      <c r="X91" s="33"/>
      <c r="Y91" s="33"/>
      <c r="Z91" s="33"/>
      <c r="AA91" s="33"/>
    </row>
    <row r="92" spans="1:27" x14ac:dyDescent="0.35">
      <c r="A92" t="s">
        <v>32</v>
      </c>
      <c r="M92" s="13">
        <f>SUM(M81:M90)</f>
        <v>155850722849.21283</v>
      </c>
      <c r="Q92" s="34" t="s">
        <v>119</v>
      </c>
      <c r="R92" s="35">
        <f>B116</f>
        <v>3900</v>
      </c>
      <c r="S92" s="35">
        <f t="shared" ref="S92:AA92" si="33">C116</f>
        <v>16169.333333333334</v>
      </c>
      <c r="T92" s="35">
        <f t="shared" si="33"/>
        <v>22084</v>
      </c>
      <c r="U92" s="35">
        <f t="shared" si="33"/>
        <v>26140.333333333336</v>
      </c>
      <c r="V92" s="35">
        <f t="shared" si="33"/>
        <v>31800.333333333336</v>
      </c>
      <c r="W92" s="35">
        <f t="shared" si="33"/>
        <v>38309.333333333336</v>
      </c>
      <c r="X92" s="35">
        <f t="shared" si="33"/>
        <v>46139</v>
      </c>
      <c r="Y92" s="35">
        <f t="shared" si="33"/>
        <v>55383.666666666664</v>
      </c>
      <c r="Z92" s="35">
        <f t="shared" si="33"/>
        <v>69345</v>
      </c>
      <c r="AA92" s="35">
        <f t="shared" si="33"/>
        <v>115851.33333333333</v>
      </c>
    </row>
    <row r="93" spans="1:27" x14ac:dyDescent="0.35">
      <c r="A93" s="6" t="s">
        <v>36</v>
      </c>
      <c r="M93" s="22">
        <f>M92-M67</f>
        <v>26456944846.619904</v>
      </c>
      <c r="Q93" s="34" t="str">
        <f>Q89</f>
        <v>Besteedbaar inkomen werkenden</v>
      </c>
      <c r="R93" s="35">
        <f>B82</f>
        <v>3900</v>
      </c>
      <c r="S93" s="35">
        <f t="shared" ref="S93:AA93" si="34">C82</f>
        <v>14920.357133333335</v>
      </c>
      <c r="T93" s="35">
        <f t="shared" si="34"/>
        <v>20074.579679999999</v>
      </c>
      <c r="U93" s="35">
        <f t="shared" si="34"/>
        <v>22452.97016666667</v>
      </c>
      <c r="V93" s="35">
        <f t="shared" si="34"/>
        <v>25771.654566666668</v>
      </c>
      <c r="W93" s="35">
        <f t="shared" si="34"/>
        <v>29331.299866666668</v>
      </c>
      <c r="X93" s="35">
        <f t="shared" si="34"/>
        <v>33322.707340000001</v>
      </c>
      <c r="Y93" s="35">
        <f t="shared" si="34"/>
        <v>38035.453513333334</v>
      </c>
      <c r="Z93" s="35">
        <f t="shared" si="34"/>
        <v>45098.3655</v>
      </c>
      <c r="AA93" s="35">
        <f t="shared" si="34"/>
        <v>66828.52383333334</v>
      </c>
    </row>
    <row r="94" spans="1:27" x14ac:dyDescent="0.35">
      <c r="Q94" s="34" t="str">
        <f>Q90</f>
        <v>Besteedbaar inkomen gepensioneerden</v>
      </c>
      <c r="R94" s="34"/>
      <c r="S94" s="34"/>
      <c r="T94" s="35">
        <f t="shared" ref="T94:Z94" si="35">D90</f>
        <v>20783.103579999999</v>
      </c>
      <c r="U94" s="35">
        <f t="shared" si="35"/>
        <v>23930.655993333334</v>
      </c>
      <c r="V94" s="35">
        <f t="shared" si="35"/>
        <v>28322.589593333334</v>
      </c>
      <c r="W94" s="35">
        <f t="shared" si="35"/>
        <v>31226.87856666667</v>
      </c>
      <c r="X94" s="35">
        <f t="shared" si="35"/>
        <v>35900.876380000002</v>
      </c>
      <c r="Y94" s="35">
        <f t="shared" si="35"/>
        <v>41419.572593333331</v>
      </c>
      <c r="Z94" s="35">
        <f t="shared" si="35"/>
        <v>49676.19</v>
      </c>
      <c r="AA94" s="34"/>
    </row>
    <row r="95" spans="1:27" x14ac:dyDescent="0.35">
      <c r="A95" t="s">
        <v>180</v>
      </c>
    </row>
    <row r="96" spans="1:27" x14ac:dyDescent="0.35">
      <c r="A96" t="s">
        <v>38</v>
      </c>
      <c r="B96" s="4">
        <f t="shared" ref="B96:K96" si="36">B82-B56</f>
        <v>1500</v>
      </c>
      <c r="C96" s="4">
        <f t="shared" si="36"/>
        <v>5990.4671333333354</v>
      </c>
      <c r="D96" s="4">
        <f t="shared" si="36"/>
        <v>6772.4901999999984</v>
      </c>
      <c r="E96" s="4">
        <f t="shared" si="36"/>
        <v>5218.0146866666691</v>
      </c>
      <c r="F96" s="4">
        <f t="shared" si="36"/>
        <v>4163.2094466666676</v>
      </c>
      <c r="G96" s="4">
        <f t="shared" si="36"/>
        <v>3677.1087466666686</v>
      </c>
      <c r="H96" s="4">
        <f t="shared" si="36"/>
        <v>3180.5174200000001</v>
      </c>
      <c r="I96" s="4">
        <f t="shared" si="36"/>
        <v>2897.4195933333322</v>
      </c>
      <c r="J96" s="4">
        <f t="shared" si="36"/>
        <v>2415.5875799999994</v>
      </c>
      <c r="K96" s="4">
        <f t="shared" si="36"/>
        <v>1035.9233333333395</v>
      </c>
    </row>
    <row r="97" spans="1:27" x14ac:dyDescent="0.35">
      <c r="A97" t="s">
        <v>39</v>
      </c>
      <c r="D97" s="4">
        <f t="shared" ref="D97:I97" si="37">D90-D65</f>
        <v>6383.1035799999991</v>
      </c>
      <c r="E97" s="4">
        <f t="shared" si="37"/>
        <v>5832.8059933333352</v>
      </c>
      <c r="F97" s="4">
        <f t="shared" si="37"/>
        <v>5509.5746533333331</v>
      </c>
      <c r="G97" s="4">
        <f t="shared" si="37"/>
        <v>3059.7396266666692</v>
      </c>
      <c r="H97" s="4">
        <f t="shared" si="37"/>
        <v>3724.4334400000007</v>
      </c>
      <c r="I97" s="4">
        <f t="shared" si="37"/>
        <v>3392.9216533333311</v>
      </c>
      <c r="J97" s="4"/>
      <c r="K97" s="4"/>
    </row>
    <row r="99" spans="1:27" x14ac:dyDescent="0.35">
      <c r="A99" t="s">
        <v>40</v>
      </c>
    </row>
    <row r="100" spans="1:27" x14ac:dyDescent="0.35">
      <c r="A100" t="s">
        <v>38</v>
      </c>
      <c r="B100" s="4">
        <f t="shared" ref="B100:K100" si="38">B81-B55</f>
        <v>0</v>
      </c>
      <c r="C100" s="4">
        <f t="shared" si="38"/>
        <v>678.86620000000005</v>
      </c>
      <c r="D100" s="4">
        <f t="shared" si="38"/>
        <v>911.50980000000095</v>
      </c>
      <c r="E100" s="4">
        <f t="shared" si="38"/>
        <v>2222.3186466666675</v>
      </c>
      <c r="F100" s="4">
        <f t="shared" si="38"/>
        <v>2937.1238866666667</v>
      </c>
      <c r="G100" s="4">
        <f t="shared" si="38"/>
        <v>3032.2245866666653</v>
      </c>
      <c r="H100" s="4">
        <f t="shared" si="38"/>
        <v>3058.4825799999999</v>
      </c>
      <c r="I100" s="4">
        <f t="shared" si="38"/>
        <v>2786.2470733333303</v>
      </c>
      <c r="J100" s="4">
        <f t="shared" si="38"/>
        <v>2429.4124200000006</v>
      </c>
      <c r="K100" s="4">
        <f t="shared" si="38"/>
        <v>1015.4099999999962</v>
      </c>
      <c r="Q100" t="s">
        <v>125</v>
      </c>
    </row>
    <row r="101" spans="1:27" x14ac:dyDescent="0.35">
      <c r="A101" t="s">
        <v>39</v>
      </c>
      <c r="D101" s="4">
        <f t="shared" ref="D101:I101" si="39">D89-D64</f>
        <v>1300.89642</v>
      </c>
      <c r="E101" s="4">
        <f t="shared" si="39"/>
        <v>1607.527340000001</v>
      </c>
      <c r="F101" s="4">
        <f t="shared" si="39"/>
        <v>1590.7586800000004</v>
      </c>
      <c r="G101" s="4">
        <f t="shared" si="39"/>
        <v>3649.5937066666675</v>
      </c>
      <c r="H101" s="4">
        <f t="shared" si="39"/>
        <v>2514.5665600000002</v>
      </c>
      <c r="I101" s="4">
        <f t="shared" si="39"/>
        <v>2290.745013333335</v>
      </c>
      <c r="Q101" s="6" t="s">
        <v>19</v>
      </c>
      <c r="R101" s="6">
        <v>1</v>
      </c>
      <c r="S101" s="6">
        <v>2</v>
      </c>
      <c r="T101" s="6">
        <v>3</v>
      </c>
      <c r="U101" s="6">
        <v>4</v>
      </c>
      <c r="V101" s="6">
        <v>5</v>
      </c>
      <c r="W101" s="6">
        <v>6</v>
      </c>
      <c r="X101" s="6">
        <v>7</v>
      </c>
      <c r="Y101" s="6">
        <v>8</v>
      </c>
      <c r="Z101" s="6">
        <v>9</v>
      </c>
      <c r="AA101" s="6">
        <v>10</v>
      </c>
    </row>
    <row r="102" spans="1:27" x14ac:dyDescent="0.35">
      <c r="A102" s="8" t="s">
        <v>42</v>
      </c>
      <c r="Q102" s="31" t="s">
        <v>121</v>
      </c>
      <c r="R102" s="6"/>
      <c r="S102" s="6"/>
      <c r="T102" s="6"/>
      <c r="U102" s="6"/>
      <c r="V102" s="6"/>
      <c r="W102" s="6"/>
      <c r="X102" s="6"/>
      <c r="Y102" s="6"/>
      <c r="Z102" s="6"/>
      <c r="AA102" s="6"/>
    </row>
    <row r="103" spans="1:27" x14ac:dyDescent="0.35">
      <c r="A103" s="8" t="s">
        <v>43</v>
      </c>
      <c r="Q103" s="6" t="s">
        <v>119</v>
      </c>
      <c r="R103" s="32">
        <f t="shared" ref="R103:AA103" si="40">B50</f>
        <v>2400</v>
      </c>
      <c r="S103" s="32">
        <f t="shared" si="40"/>
        <v>9500</v>
      </c>
      <c r="T103" s="32">
        <f t="shared" si="40"/>
        <v>14400</v>
      </c>
      <c r="U103" s="32">
        <f t="shared" si="40"/>
        <v>18700</v>
      </c>
      <c r="V103" s="32">
        <f t="shared" si="40"/>
        <v>24700</v>
      </c>
      <c r="W103" s="32">
        <f t="shared" si="40"/>
        <v>31600</v>
      </c>
      <c r="X103" s="32">
        <f t="shared" si="40"/>
        <v>39900</v>
      </c>
      <c r="Y103" s="32">
        <f t="shared" si="40"/>
        <v>49700</v>
      </c>
      <c r="Z103" s="32">
        <f t="shared" si="40"/>
        <v>64500</v>
      </c>
      <c r="AA103" s="32">
        <f t="shared" si="40"/>
        <v>113800</v>
      </c>
    </row>
    <row r="104" spans="1:27" x14ac:dyDescent="0.35">
      <c r="A104" s="8" t="s">
        <v>45</v>
      </c>
      <c r="Q104" s="6" t="s">
        <v>82</v>
      </c>
      <c r="R104" s="32">
        <f t="shared" ref="R104:AA104" si="41">B56</f>
        <v>2400</v>
      </c>
      <c r="S104" s="32">
        <f t="shared" si="41"/>
        <v>8929.89</v>
      </c>
      <c r="T104" s="32">
        <f t="shared" si="41"/>
        <v>13302.089480000001</v>
      </c>
      <c r="U104" s="32">
        <f t="shared" si="41"/>
        <v>17234.955480000001</v>
      </c>
      <c r="V104" s="32">
        <f t="shared" si="41"/>
        <v>21608.44512</v>
      </c>
      <c r="W104" s="32">
        <f t="shared" si="41"/>
        <v>25654.19112</v>
      </c>
      <c r="X104" s="32">
        <f t="shared" si="41"/>
        <v>30142.189920000001</v>
      </c>
      <c r="Y104" s="32">
        <f t="shared" si="41"/>
        <v>35138.033920000002</v>
      </c>
      <c r="Z104" s="32">
        <f t="shared" si="41"/>
        <v>42682.77792</v>
      </c>
      <c r="AA104" s="32">
        <f t="shared" si="41"/>
        <v>65792.6005</v>
      </c>
    </row>
    <row r="105" spans="1:27" x14ac:dyDescent="0.35">
      <c r="A105" s="8" t="s">
        <v>44</v>
      </c>
      <c r="Q105" s="6" t="s">
        <v>80</v>
      </c>
      <c r="R105" s="6" t="s">
        <v>123</v>
      </c>
      <c r="S105" s="6" t="s">
        <v>123</v>
      </c>
      <c r="T105" s="32">
        <f>D65</f>
        <v>14400</v>
      </c>
      <c r="U105" s="32">
        <f t="shared" ref="U105:Z105" si="42">E65</f>
        <v>18097.849999999999</v>
      </c>
      <c r="V105" s="32">
        <f t="shared" si="42"/>
        <v>22813.014940000001</v>
      </c>
      <c r="W105" s="32">
        <f t="shared" si="42"/>
        <v>28167.138940000001</v>
      </c>
      <c r="X105" s="32">
        <f t="shared" si="42"/>
        <v>32176.442940000001</v>
      </c>
      <c r="Y105" s="32">
        <f t="shared" si="42"/>
        <v>38026.65094</v>
      </c>
      <c r="Z105" s="32">
        <f t="shared" si="42"/>
        <v>46861.658940000001</v>
      </c>
      <c r="AA105" s="32" t="s">
        <v>123</v>
      </c>
    </row>
    <row r="106" spans="1:27" x14ac:dyDescent="0.35">
      <c r="A106" s="8" t="s">
        <v>104</v>
      </c>
      <c r="Q106" s="28" t="s">
        <v>122</v>
      </c>
      <c r="R106" s="29"/>
      <c r="S106" s="29"/>
      <c r="T106" s="29"/>
      <c r="U106" s="29"/>
      <c r="V106" s="29"/>
      <c r="W106" s="29"/>
      <c r="X106" s="29"/>
      <c r="Y106" s="29"/>
      <c r="Z106" s="29"/>
      <c r="AA106" s="29" t="s">
        <v>123</v>
      </c>
    </row>
    <row r="107" spans="1:27" x14ac:dyDescent="0.35">
      <c r="A107" s="8"/>
      <c r="Q107" s="29" t="s">
        <v>119</v>
      </c>
      <c r="R107" s="30">
        <f t="shared" ref="R107:AA107" si="43">B116</f>
        <v>3900</v>
      </c>
      <c r="S107" s="30">
        <f t="shared" si="43"/>
        <v>16169.333333333334</v>
      </c>
      <c r="T107" s="30">
        <f t="shared" si="43"/>
        <v>22084</v>
      </c>
      <c r="U107" s="30">
        <f t="shared" si="43"/>
        <v>26140.333333333336</v>
      </c>
      <c r="V107" s="30">
        <f t="shared" si="43"/>
        <v>31800.333333333336</v>
      </c>
      <c r="W107" s="30">
        <f t="shared" si="43"/>
        <v>38309.333333333336</v>
      </c>
      <c r="X107" s="30">
        <f t="shared" si="43"/>
        <v>46139</v>
      </c>
      <c r="Y107" s="30">
        <f t="shared" si="43"/>
        <v>55383.666666666664</v>
      </c>
      <c r="Z107" s="30">
        <f t="shared" si="43"/>
        <v>69345</v>
      </c>
      <c r="AA107" s="30">
        <f t="shared" si="43"/>
        <v>115851.33333333333</v>
      </c>
    </row>
    <row r="108" spans="1:27" x14ac:dyDescent="0.35">
      <c r="A108" s="1" t="s">
        <v>46</v>
      </c>
      <c r="Q108" s="29" t="s">
        <v>82</v>
      </c>
      <c r="R108" s="30">
        <f t="shared" ref="R108:AA108" si="44">B121</f>
        <v>3900</v>
      </c>
      <c r="S108" s="30">
        <f t="shared" si="44"/>
        <v>15027.146666666667</v>
      </c>
      <c r="T108" s="30">
        <f t="shared" si="44"/>
        <v>19049.12</v>
      </c>
      <c r="U108" s="30">
        <f t="shared" si="44"/>
        <v>21807.426666666666</v>
      </c>
      <c r="V108" s="30">
        <f t="shared" si="44"/>
        <v>25476.193333333336</v>
      </c>
      <c r="W108" s="30">
        <f t="shared" si="44"/>
        <v>29251.413333333334</v>
      </c>
      <c r="X108" s="30">
        <f t="shared" si="44"/>
        <v>33178.720000000001</v>
      </c>
      <c r="Y108" s="30">
        <f t="shared" si="44"/>
        <v>37616.160000000003</v>
      </c>
      <c r="Z108" s="30">
        <f t="shared" si="44"/>
        <v>43883.1</v>
      </c>
      <c r="AA108" s="30">
        <f t="shared" si="44"/>
        <v>61555.506666666668</v>
      </c>
    </row>
    <row r="109" spans="1:27" x14ac:dyDescent="0.35">
      <c r="A109" s="9" t="s">
        <v>47</v>
      </c>
      <c r="Q109" s="29" t="s">
        <v>80</v>
      </c>
      <c r="R109" s="29" t="s">
        <v>123</v>
      </c>
      <c r="S109" s="29" t="s">
        <v>123</v>
      </c>
      <c r="T109" s="30">
        <f>D126</f>
        <v>19049.12</v>
      </c>
      <c r="U109" s="30">
        <f t="shared" ref="U109:Z109" si="45">E126</f>
        <v>21807.426666666666</v>
      </c>
      <c r="V109" s="30">
        <f t="shared" si="45"/>
        <v>25476.193333333336</v>
      </c>
      <c r="W109" s="30">
        <f t="shared" si="45"/>
        <v>29251.413333333334</v>
      </c>
      <c r="X109" s="30">
        <f t="shared" si="45"/>
        <v>33178.720000000001</v>
      </c>
      <c r="Y109" s="30">
        <f t="shared" si="45"/>
        <v>37616.160000000003</v>
      </c>
      <c r="Z109" s="30">
        <f t="shared" si="45"/>
        <v>43883.1</v>
      </c>
      <c r="AA109" s="30" t="s">
        <v>123</v>
      </c>
    </row>
    <row r="110" spans="1:27" x14ac:dyDescent="0.35">
      <c r="A110" t="s">
        <v>48</v>
      </c>
      <c r="C110">
        <v>12600</v>
      </c>
      <c r="E110">
        <v>30000</v>
      </c>
      <c r="G110">
        <v>40000</v>
      </c>
      <c r="I110">
        <v>65000</v>
      </c>
    </row>
    <row r="111" spans="1:27" x14ac:dyDescent="0.35">
      <c r="A111" t="s">
        <v>49</v>
      </c>
      <c r="B111" s="10">
        <v>0</v>
      </c>
      <c r="D111" s="11">
        <v>0.32</v>
      </c>
      <c r="F111" s="11">
        <v>0.42</v>
      </c>
      <c r="H111" s="11">
        <v>0.52</v>
      </c>
      <c r="J111" s="11">
        <v>0.62</v>
      </c>
    </row>
    <row r="112" spans="1:27" x14ac:dyDescent="0.35">
      <c r="A112" t="s">
        <v>66</v>
      </c>
      <c r="C112" s="4">
        <f>C110*B111</f>
        <v>0</v>
      </c>
      <c r="D112" s="4"/>
      <c r="E112" s="4">
        <f>(E110-C110)*D111+C112</f>
        <v>5568</v>
      </c>
      <c r="G112" s="4">
        <f>E112+(G110-E110)*F111</f>
        <v>9768</v>
      </c>
      <c r="I112" s="4">
        <f>G112+(I110-G110)*H111</f>
        <v>22768</v>
      </c>
    </row>
    <row r="113" spans="1:14" x14ac:dyDescent="0.35">
      <c r="C113" s="4"/>
      <c r="D113" s="4"/>
      <c r="E113" s="4"/>
      <c r="G113" s="4"/>
      <c r="I113" s="4"/>
    </row>
    <row r="114" spans="1:14" x14ac:dyDescent="0.35">
      <c r="A114" t="s">
        <v>22</v>
      </c>
    </row>
    <row r="115" spans="1:14" x14ac:dyDescent="0.35">
      <c r="A115" t="s">
        <v>19</v>
      </c>
      <c r="B115">
        <v>1</v>
      </c>
      <c r="C115">
        <v>2</v>
      </c>
      <c r="D115">
        <v>3</v>
      </c>
      <c r="E115">
        <v>4</v>
      </c>
      <c r="F115">
        <v>5</v>
      </c>
      <c r="G115">
        <v>6</v>
      </c>
      <c r="H115">
        <v>7</v>
      </c>
      <c r="I115">
        <v>8</v>
      </c>
      <c r="J115">
        <v>9</v>
      </c>
      <c r="K115">
        <v>10</v>
      </c>
    </row>
    <row r="116" spans="1:14" x14ac:dyDescent="0.35">
      <c r="A116" t="str">
        <f t="shared" ref="A116:K116" si="46">A76</f>
        <v>Midden deciel + Basisinkomen dyn</v>
      </c>
      <c r="B116" s="4">
        <f t="shared" si="46"/>
        <v>3900</v>
      </c>
      <c r="C116" s="4">
        <f t="shared" si="46"/>
        <v>16169.333333333334</v>
      </c>
      <c r="D116" s="4">
        <f t="shared" si="46"/>
        <v>22084</v>
      </c>
      <c r="E116" s="4">
        <f t="shared" si="46"/>
        <v>26140.333333333336</v>
      </c>
      <c r="F116" s="4">
        <f t="shared" si="46"/>
        <v>31800.333333333336</v>
      </c>
      <c r="G116" s="4">
        <f t="shared" si="46"/>
        <v>38309.333333333336</v>
      </c>
      <c r="H116" s="4">
        <f>H76</f>
        <v>46139</v>
      </c>
      <c r="I116" s="4">
        <f t="shared" si="46"/>
        <v>55383.666666666664</v>
      </c>
      <c r="J116" s="4">
        <f t="shared" si="46"/>
        <v>69345</v>
      </c>
      <c r="K116" s="4">
        <f t="shared" si="46"/>
        <v>115851.33333333333</v>
      </c>
    </row>
    <row r="117" spans="1:14" x14ac:dyDescent="0.35">
      <c r="A117" t="s">
        <v>50</v>
      </c>
      <c r="B117" s="4">
        <f>IF(B116&lt;C110,B111*B116,IF(B116&lt;E110,(B116-C110)*D111+C110*B111,IF(B116&lt;G110,(B116-E110)*F111+(E110-C110)*D111+C110*B111,IF(B116&lt;I110,(B116-G110)*H111+(G110-E110)*F111+(E110-C110)*D111+C110*B111,(B116-I110)*J111+(I110-G110)*H111+(G110-E110)*F111+(E110-C110)*D111+C110*B111))))</f>
        <v>0</v>
      </c>
      <c r="C117" s="4">
        <f>IF(C116&lt;C110,B111*C116,IF(C116&lt;E110,(C116-C110)*D111+C110*B111,IF(C116&lt;G110,(C116-E110)*F111+(E110-C110)*D111+C110*B111,IF(C116&lt;I110,(C116-G110)*H111+(G110-E110)*F111+(E110-C110)*D111+C110*B111,(C116-I110)*J111+(I110-G110)*H111+(G110-E110)*F111+(E110-C110)*D111+C110*B111))))</f>
        <v>1142.186666666667</v>
      </c>
      <c r="D117" s="4">
        <f t="shared" ref="D117:K117" si="47">IF(D116&lt;$C$110,$B$111*D116,IF(D116&lt;$E$110,(D116-$C$110)*$D$111+$C$110*$B$111,IF(D116&lt;$G$110,(D116-$E$110)*$F$111+($E$110-$C$110)*$D$111+$C$110*$B$111,IF(D116&lt;$I$110,(D116-$G$110)*$H$111+($G$110-$E$110)*$F$111+($E$110-$C$110)*$D$111+$C$110*$B$111,(D116-$I$110)*$J$111+($I$110-$G$110)*$H$111+($G$110-$E$110)*$F$111+($E$110-$C$110)*$D$111+$C$110*$B$111))))</f>
        <v>3034.88</v>
      </c>
      <c r="E117" s="4">
        <f t="shared" si="47"/>
        <v>4332.9066666666677</v>
      </c>
      <c r="F117" s="4">
        <f t="shared" si="47"/>
        <v>6324.1400000000012</v>
      </c>
      <c r="G117" s="4">
        <f t="shared" si="47"/>
        <v>9057.9200000000019</v>
      </c>
      <c r="H117" s="4">
        <f t="shared" si="47"/>
        <v>12960.28</v>
      </c>
      <c r="I117" s="4">
        <f t="shared" si="47"/>
        <v>17767.506666666664</v>
      </c>
      <c r="J117" s="4">
        <f t="shared" si="47"/>
        <v>25461.9</v>
      </c>
      <c r="K117" s="4">
        <f t="shared" si="47"/>
        <v>54295.82666666666</v>
      </c>
      <c r="M117" s="3">
        <f>($B$37/10)*SUM(B117:K117)</f>
        <v>139339504766.10666</v>
      </c>
      <c r="N117" s="3"/>
    </row>
    <row r="118" spans="1:14" x14ac:dyDescent="0.35">
      <c r="A118" t="s">
        <v>126</v>
      </c>
      <c r="B118" s="4"/>
      <c r="C118" s="4"/>
      <c r="D118" s="4">
        <f>C112+(D116-C110)*0.25</f>
        <v>2371</v>
      </c>
      <c r="E118" s="4"/>
      <c r="F118" s="4"/>
      <c r="G118" s="4"/>
      <c r="H118" s="4">
        <f>IF(H116&lt;I110,G112+(H116-G110)*H111)</f>
        <v>12960.28</v>
      </c>
      <c r="I118" s="4"/>
      <c r="J118" s="4"/>
      <c r="K118" s="4">
        <f>(I112+(K116-I110)*J111)</f>
        <v>54295.82666666666</v>
      </c>
      <c r="M118" s="3"/>
      <c r="N118" s="3"/>
    </row>
    <row r="119" spans="1:14" x14ac:dyDescent="0.35">
      <c r="A119" t="s">
        <v>51</v>
      </c>
      <c r="B119" s="4"/>
      <c r="C119" s="4"/>
      <c r="D119" s="4"/>
      <c r="E119" s="4"/>
      <c r="F119" s="4"/>
      <c r="G119" s="4"/>
      <c r="H119" s="4"/>
      <c r="I119" s="4"/>
      <c r="J119" s="4"/>
      <c r="K119" s="4"/>
    </row>
    <row r="120" spans="1:14" x14ac:dyDescent="0.35">
      <c r="A120" t="s">
        <v>53</v>
      </c>
      <c r="B120" s="4">
        <f>B117-B119</f>
        <v>0</v>
      </c>
      <c r="C120" s="4">
        <f t="shared" ref="C120:K120" si="48">C117-C119</f>
        <v>1142.186666666667</v>
      </c>
      <c r="D120" s="4">
        <f t="shared" si="48"/>
        <v>3034.88</v>
      </c>
      <c r="E120" s="4">
        <f t="shared" si="48"/>
        <v>4332.9066666666677</v>
      </c>
      <c r="F120" s="4">
        <f t="shared" si="48"/>
        <v>6324.1400000000012</v>
      </c>
      <c r="G120" s="4">
        <f t="shared" si="48"/>
        <v>9057.9200000000019</v>
      </c>
      <c r="H120" s="4">
        <f t="shared" si="48"/>
        <v>12960.28</v>
      </c>
      <c r="I120" s="4">
        <f t="shared" si="48"/>
        <v>17767.506666666664</v>
      </c>
      <c r="J120" s="4">
        <f t="shared" si="48"/>
        <v>25461.9</v>
      </c>
      <c r="K120" s="4">
        <f t="shared" si="48"/>
        <v>54295.82666666666</v>
      </c>
    </row>
    <row r="121" spans="1:14" x14ac:dyDescent="0.35">
      <c r="A121" t="s">
        <v>52</v>
      </c>
      <c r="B121" s="4">
        <f>B116-B120</f>
        <v>3900</v>
      </c>
      <c r="C121" s="4">
        <f t="shared" ref="C121:K121" si="49">C116-C120</f>
        <v>15027.146666666667</v>
      </c>
      <c r="D121" s="4">
        <f t="shared" si="49"/>
        <v>19049.12</v>
      </c>
      <c r="E121" s="4">
        <f t="shared" si="49"/>
        <v>21807.426666666666</v>
      </c>
      <c r="F121" s="4">
        <f t="shared" si="49"/>
        <v>25476.193333333336</v>
      </c>
      <c r="G121" s="4">
        <f t="shared" si="49"/>
        <v>29251.413333333334</v>
      </c>
      <c r="H121" s="4">
        <f t="shared" si="49"/>
        <v>33178.720000000001</v>
      </c>
      <c r="I121" s="4">
        <f t="shared" si="49"/>
        <v>37616.160000000003</v>
      </c>
      <c r="J121" s="4">
        <f t="shared" si="49"/>
        <v>43883.1</v>
      </c>
      <c r="K121" s="4">
        <f t="shared" si="49"/>
        <v>61555.506666666668</v>
      </c>
      <c r="L121" s="4"/>
    </row>
    <row r="122" spans="1:14" x14ac:dyDescent="0.35">
      <c r="C122" s="4"/>
      <c r="D122" s="4"/>
      <c r="E122" s="4"/>
      <c r="F122" s="4"/>
      <c r="G122" s="4"/>
      <c r="H122" s="4"/>
      <c r="I122" s="4"/>
      <c r="J122" s="4"/>
      <c r="K122" s="4"/>
    </row>
    <row r="123" spans="1:14" x14ac:dyDescent="0.35">
      <c r="A123" t="s">
        <v>61</v>
      </c>
    </row>
    <row r="124" spans="1:14" x14ac:dyDescent="0.35">
      <c r="A124" t="s">
        <v>60</v>
      </c>
      <c r="D124" s="4">
        <f t="shared" ref="D124:J124" si="50">D85</f>
        <v>22084</v>
      </c>
      <c r="E124" s="4">
        <f t="shared" si="50"/>
        <v>26140.333333333336</v>
      </c>
      <c r="F124" s="4">
        <f t="shared" si="50"/>
        <v>31800.333333333336</v>
      </c>
      <c r="G124" s="4">
        <f t="shared" si="50"/>
        <v>38309.333333333336</v>
      </c>
      <c r="H124" s="4">
        <f t="shared" si="50"/>
        <v>46139</v>
      </c>
      <c r="I124" s="4">
        <f t="shared" si="50"/>
        <v>55383.666666666664</v>
      </c>
      <c r="J124" s="4">
        <f t="shared" si="50"/>
        <v>69345</v>
      </c>
    </row>
    <row r="125" spans="1:14" x14ac:dyDescent="0.35">
      <c r="A125" t="s">
        <v>50</v>
      </c>
      <c r="D125" s="4">
        <f>IF(D124&lt;$C$110,$B$111*D124,IF(D124&lt;$E$110,(D124-$C$110)*$D$111+$C$110*$B$111,IF(D124&lt;$G$110,(D124-$E$110)*$F$111+($E$110-$C$110)*$D$111+$C$110*$B$111,IF(D124&lt;$I$110,(D124-$G$110)*$H$111+($G$110-$E$110)*$F$111+($E$110-$C$110)*$D$111+$C$110*$B$111,(D124-$I$110)*$J$111+(D117-B117)*C119+($G$110-$E$110)*$F$111+($E$110-$C$110)*$D$111+$C$110*$B$111))))</f>
        <v>3034.88</v>
      </c>
      <c r="E125" s="4">
        <f>IF(E124&lt;$C$110,$B$111*E124,IF(E124&lt;$E$110,(E124-$C$110)*$D$111+$C$110*$B$111,IF(E124&lt;$G$110,(E124-$E$110)*$F$111+($E$110-$C$110)*$D$111+$C$110*$B$111,IF(E124&lt;$I$110,(E124-$G$110)*$H$111+($G$110-$E$110)*$F$111+($E$110-$C$110)*$D$111+$C$110*$B$111,(E124-$I$110)*$J$111+(E117-C117)*D119+($G$110-$E$110)*$F$111+($E$110-$C$110)*$D$111+$C$110*$B$111))))</f>
        <v>4332.9066666666677</v>
      </c>
      <c r="F125" s="4">
        <f>IF(F124&lt;$C$110,$B$111*F124,IF(F124&lt;$E$110,(F124-$C$110)*$D$111+$C$110*$B$111,IF(F124&lt;$G$110,(F124-$E$110)*$F$111+($E$110-$C$110)*$D$111+$C$110*$B$111,IF(F124&lt;$I$110,(F124-$G$110)*$H$111+($G$110-$E$110)*$F$111+($E$110-$C$110)*$D$111+$C$110*$B$111,(F124-$I$110)*$J$111+(F117-D117)*E119+($G$110-$E$110)*$F$111+($E$110-$C$110)*$D$111+$C$110*$B$111))))</f>
        <v>6324.1400000000012</v>
      </c>
      <c r="G125" s="4">
        <f>IF(G124&lt;$C$110,$B$111*G124,IF(G124&lt;$E$110,(G124-$C$110)*$D$111+$C$110*$B$111,IF(G124&lt;$G$110,(G124-$E$110)*$F$111+($E$110-$C$110)*$D$111+$C$110*$B$111,IF(G124&lt;$I$110,(G124-$G$110)*$H$111+($G$110-$E$110)*$F$111+($E$110-$C$110)*$D$111+$C$110*$B$111,(G124-$I$110)*$J$111+(G117-E117)*F119+($G$110-$E$110)*$F$111+($E$110-$C$110)*$D$111+$C$110*$B$111))))</f>
        <v>9057.9200000000019</v>
      </c>
      <c r="H125" s="4">
        <f>IF(H124&lt;$C$110,$B$111*H124,IF(H124&lt;$E$110,(H124-$C$110)*$D$111+$C$110*$B$111,IF(H124&lt;$G$110,(H124-$E$110)*$F$111+($E$110-$C$110)*$D$111+$C$110*$B$111,IF(H124&lt;$I$110,(H124-$G$110)*$H$111+($G$110-$E$110)*$F$111+($E$110-$C$110)*$D$111+$C$110*$B$111,(H124-$I$110)*$J$111+(H117-F117)*G119+($G$110-$E$110)*$F$111+($E$110-$C$110)*$D$111+$C$110*$B$111))))</f>
        <v>12960.28</v>
      </c>
      <c r="I125" s="4">
        <f>IF(I124&lt;$C$110,$B$111*I124,IF(I124&lt;$E$110,(I124-$C$110)*$D$111+$C$110*$B$111,IF(I124&lt;$G$110,(I124-$E$110)*$F$111+($E$110-$C$110)*$D$111+$C$110*$B$111,IF(I124&lt;$I$110,(I124-$G$110)*$H$111+($G$110-$E$110)*$F$111+($E$110-$C$110)*$D$111+$C$110*$B$111,(I124-$I$110)*$J$111+($I$110-$G$110)*$H$111+($G$110-$E$110)*$F$111+($E$110-$C$110)*$D$111+$C$110*$B$111))))</f>
        <v>17767.506666666664</v>
      </c>
      <c r="J125" s="4">
        <f>IF(J124&lt;$C$110,$B$111*J124,IF(J124&lt;$E$110,(J124-$C$110)*$D$111+$C$110*$B$111,IF(J124&lt;$G$110,(J124-$E$110)*$F$111+($E$110-$C$110)*$D$111+$C$110*$B$111,IF(J124&lt;$I$110,(J124-$G$110)*$H$111+($G$110-$E$110)*$F$111+($E$110-$C$110)*$D$111+$C$110*$B$111,(J124-$I$110)*$J$111+($I$110-$G$110)*$H$111+($G$110-$E$110)*$F$111+($E$110-$C$110)*$D$111+$C$110*$B$111))))</f>
        <v>25461.9</v>
      </c>
      <c r="M125" s="3">
        <f>($B$36/7)*SUM(D125:J125)</f>
        <v>35196544185.809517</v>
      </c>
      <c r="N125" s="3"/>
    </row>
    <row r="126" spans="1:14" x14ac:dyDescent="0.35">
      <c r="A126" t="s">
        <v>52</v>
      </c>
      <c r="D126" s="4">
        <f>D124-D125</f>
        <v>19049.12</v>
      </c>
      <c r="E126" s="4">
        <f t="shared" ref="E126:J126" si="51">E124-E125</f>
        <v>21807.426666666666</v>
      </c>
      <c r="F126" s="4">
        <f t="shared" si="51"/>
        <v>25476.193333333336</v>
      </c>
      <c r="G126" s="4">
        <f t="shared" si="51"/>
        <v>29251.413333333334</v>
      </c>
      <c r="H126" s="4">
        <f t="shared" si="51"/>
        <v>33178.720000000001</v>
      </c>
      <c r="I126" s="4">
        <f t="shared" si="51"/>
        <v>37616.160000000003</v>
      </c>
      <c r="J126" s="4">
        <f t="shared" si="51"/>
        <v>43883.1</v>
      </c>
    </row>
    <row r="127" spans="1:14" x14ac:dyDescent="0.35">
      <c r="A127" t="s">
        <v>62</v>
      </c>
      <c r="I127" s="4"/>
      <c r="M127" s="13">
        <f>M117+M125</f>
        <v>174536048951.91617</v>
      </c>
    </row>
    <row r="128" spans="1:14" s="14" customFormat="1" x14ac:dyDescent="0.35">
      <c r="A128" s="21" t="s">
        <v>71</v>
      </c>
      <c r="L128" s="12"/>
      <c r="M128" s="20">
        <f>M127-M67</f>
        <v>45142270949.323242</v>
      </c>
    </row>
    <row r="129" spans="1:16" s="14" customFormat="1" x14ac:dyDescent="0.35">
      <c r="A129" s="21"/>
      <c r="L129" s="12"/>
      <c r="M129" s="20"/>
    </row>
    <row r="130" spans="1:16" x14ac:dyDescent="0.35">
      <c r="A130" s="41" t="s">
        <v>140</v>
      </c>
      <c r="B130" s="41"/>
      <c r="C130" s="41"/>
      <c r="D130" s="41"/>
      <c r="E130" s="41"/>
      <c r="F130" s="41"/>
      <c r="G130" s="41"/>
      <c r="H130" s="41"/>
      <c r="I130" s="41"/>
      <c r="J130" s="41"/>
      <c r="K130" s="41"/>
      <c r="L130" s="41"/>
    </row>
    <row r="131" spans="1:16" ht="15" thickBot="1" x14ac:dyDescent="0.4">
      <c r="A131" s="41" t="s">
        <v>137</v>
      </c>
      <c r="B131" s="41"/>
      <c r="C131" s="41"/>
      <c r="D131" s="41"/>
      <c r="E131" s="41"/>
      <c r="F131" s="41"/>
      <c r="G131" s="41"/>
      <c r="H131" s="41"/>
      <c r="I131" s="41"/>
      <c r="J131" s="41"/>
      <c r="K131" s="41"/>
      <c r="L131" s="40">
        <f>N45</f>
        <v>85383063672.5</v>
      </c>
    </row>
    <row r="132" spans="1:16" ht="15" thickBot="1" x14ac:dyDescent="0.4">
      <c r="A132" s="41" t="s">
        <v>186</v>
      </c>
      <c r="B132" s="41"/>
      <c r="C132" s="41"/>
      <c r="D132" s="41"/>
      <c r="E132" s="41"/>
      <c r="F132" s="41"/>
      <c r="G132" s="41"/>
      <c r="H132" s="41"/>
      <c r="I132" s="41"/>
      <c r="J132" s="41"/>
      <c r="K132" s="41"/>
      <c r="L132" s="40">
        <f>M128</f>
        <v>45142270949.323242</v>
      </c>
      <c r="N132" s="78"/>
      <c r="O132" s="79" t="s">
        <v>228</v>
      </c>
      <c r="P132" s="80" t="s">
        <v>229</v>
      </c>
    </row>
    <row r="133" spans="1:16" x14ac:dyDescent="0.35">
      <c r="A133" s="41" t="s">
        <v>218</v>
      </c>
      <c r="B133" s="41"/>
      <c r="C133" s="41"/>
      <c r="D133" s="41"/>
      <c r="E133" s="41"/>
      <c r="F133" s="41"/>
      <c r="G133" s="41"/>
      <c r="H133" s="41"/>
      <c r="I133" s="41"/>
      <c r="J133" s="41"/>
      <c r="K133" s="41"/>
      <c r="L133" s="40">
        <f>M34</f>
        <v>19402000000</v>
      </c>
      <c r="N133" s="75" t="s">
        <v>221</v>
      </c>
      <c r="O133" s="76" t="s">
        <v>226</v>
      </c>
      <c r="P133" s="77">
        <f>B112</f>
        <v>0</v>
      </c>
    </row>
    <row r="134" spans="1:16" x14ac:dyDescent="0.35">
      <c r="A134" s="41" t="s">
        <v>205</v>
      </c>
      <c r="B134" s="41"/>
      <c r="C134" s="41"/>
      <c r="D134" s="41"/>
      <c r="E134" s="41"/>
      <c r="F134" s="41"/>
      <c r="G134" s="41"/>
      <c r="H134" s="41"/>
      <c r="I134" s="41"/>
      <c r="J134" s="41"/>
      <c r="K134" s="41"/>
      <c r="L134" s="40">
        <f>L131-L132-L133</f>
        <v>20838792723.176758</v>
      </c>
      <c r="N134" s="69" t="s">
        <v>224</v>
      </c>
      <c r="O134" s="70" t="s">
        <v>269</v>
      </c>
      <c r="P134" s="71">
        <f>D111</f>
        <v>0.32</v>
      </c>
    </row>
    <row r="135" spans="1:16" x14ac:dyDescent="0.35">
      <c r="N135" s="69" t="s">
        <v>225</v>
      </c>
      <c r="O135" s="70" t="s">
        <v>272</v>
      </c>
      <c r="P135" s="71">
        <f>F111</f>
        <v>0.42</v>
      </c>
    </row>
    <row r="136" spans="1:16" x14ac:dyDescent="0.35">
      <c r="N136" s="69" t="s">
        <v>222</v>
      </c>
      <c r="O136" s="70" t="s">
        <v>271</v>
      </c>
      <c r="P136" s="71">
        <f>H111</f>
        <v>0.52</v>
      </c>
    </row>
    <row r="137" spans="1:16" ht="15" thickBot="1" x14ac:dyDescent="0.4">
      <c r="A137" t="s">
        <v>109</v>
      </c>
      <c r="B137" s="23">
        <f t="shared" ref="B137:K137" si="52">B120/B116</f>
        <v>0</v>
      </c>
      <c r="C137" s="23">
        <f t="shared" si="52"/>
        <v>7.063906984414943E-2</v>
      </c>
      <c r="D137" s="23">
        <f t="shared" si="52"/>
        <v>0.13742437964136933</v>
      </c>
      <c r="E137" s="23">
        <f t="shared" si="52"/>
        <v>0.16575560117825586</v>
      </c>
      <c r="F137" s="23">
        <f t="shared" si="52"/>
        <v>0.19887024245028881</v>
      </c>
      <c r="G137" s="23">
        <f t="shared" si="52"/>
        <v>0.2364415982180148</v>
      </c>
      <c r="H137" s="23">
        <f t="shared" si="52"/>
        <v>0.28089642168230783</v>
      </c>
      <c r="I137" s="23">
        <f t="shared" si="52"/>
        <v>0.32080769902077022</v>
      </c>
      <c r="J137" s="23">
        <f t="shared" si="52"/>
        <v>0.36717715768981185</v>
      </c>
      <c r="K137" s="23">
        <f t="shared" si="52"/>
        <v>0.46866812063736857</v>
      </c>
      <c r="N137" s="72" t="s">
        <v>223</v>
      </c>
      <c r="O137" s="73" t="s">
        <v>227</v>
      </c>
      <c r="P137" s="74">
        <f>J111</f>
        <v>0.62</v>
      </c>
    </row>
    <row r="138" spans="1:16" x14ac:dyDescent="0.35">
      <c r="B138" s="23"/>
      <c r="C138" s="23"/>
      <c r="D138" s="23"/>
      <c r="E138" s="23"/>
      <c r="F138" s="23"/>
      <c r="G138" s="23"/>
      <c r="H138" s="23"/>
      <c r="I138" s="23"/>
      <c r="J138" s="23"/>
      <c r="K138" s="23"/>
    </row>
    <row r="139" spans="1:16" x14ac:dyDescent="0.35">
      <c r="A139" s="1" t="s">
        <v>127</v>
      </c>
      <c r="L139" s="19" t="s">
        <v>97</v>
      </c>
      <c r="M139" s="1" t="s">
        <v>128</v>
      </c>
      <c r="N139" s="1" t="s">
        <v>129</v>
      </c>
      <c r="O139" s="1" t="s">
        <v>130</v>
      </c>
    </row>
    <row r="140" spans="1:16" x14ac:dyDescent="0.35">
      <c r="A140" t="s">
        <v>63</v>
      </c>
      <c r="B140" s="4">
        <f t="shared" ref="B140:K140" si="53">B121-B56</f>
        <v>1500</v>
      </c>
      <c r="C140" s="4">
        <f t="shared" si="53"/>
        <v>6097.256666666668</v>
      </c>
      <c r="D140" s="4">
        <f t="shared" si="53"/>
        <v>5747.0305199999984</v>
      </c>
      <c r="E140" s="4">
        <f t="shared" si="53"/>
        <v>4572.4711866666657</v>
      </c>
      <c r="F140" s="4">
        <f t="shared" si="53"/>
        <v>3867.748213333336</v>
      </c>
      <c r="G140" s="4">
        <f t="shared" si="53"/>
        <v>3597.2222133333344</v>
      </c>
      <c r="H140" s="36">
        <f t="shared" si="53"/>
        <v>3036.5300800000005</v>
      </c>
      <c r="I140" s="4">
        <f t="shared" si="53"/>
        <v>2478.1260800000018</v>
      </c>
      <c r="J140" s="4">
        <f t="shared" si="53"/>
        <v>1200.3220799999981</v>
      </c>
      <c r="K140" s="4">
        <f t="shared" si="53"/>
        <v>-4237.0938333333324</v>
      </c>
      <c r="L140" s="68">
        <f>SUM(B140:K140)*B37/10</f>
        <v>28888343354.129436</v>
      </c>
      <c r="M140" s="3">
        <f>($B$37/10)*SUM(B140:H140)</f>
        <v>29467617298.273441</v>
      </c>
      <c r="N140" s="3">
        <f>SUM(I140,K140)*B37/10+SUM(I141,J141)*B36/7</f>
        <v>-183819345.86172628</v>
      </c>
      <c r="O140" s="3">
        <f>SUM(B140:F140)*B37/10</f>
        <v>22588910384.632626</v>
      </c>
      <c r="P140" s="4">
        <f>SUM(B140:J140)</f>
        <v>32096.707040000001</v>
      </c>
    </row>
    <row r="141" spans="1:16" x14ac:dyDescent="0.35">
      <c r="A141" t="s">
        <v>67</v>
      </c>
      <c r="D141" s="4">
        <f t="shared" ref="D141:J141" si="54">D126-D56</f>
        <v>5747.0305199999984</v>
      </c>
      <c r="E141" s="4">
        <f t="shared" si="54"/>
        <v>4572.4711866666657</v>
      </c>
      <c r="F141" s="4">
        <f t="shared" si="54"/>
        <v>3867.748213333336</v>
      </c>
      <c r="G141" s="4">
        <f t="shared" si="54"/>
        <v>3597.2222133333344</v>
      </c>
      <c r="H141" s="4">
        <f t="shared" si="54"/>
        <v>3036.5300800000005</v>
      </c>
      <c r="I141" s="4">
        <f t="shared" si="54"/>
        <v>2478.1260800000018</v>
      </c>
      <c r="J141" s="4">
        <f t="shared" si="54"/>
        <v>1200.3220799999981</v>
      </c>
      <c r="L141" s="68">
        <f>SUM(D141:J141)*B36/10</f>
        <v>7646449957.6699476</v>
      </c>
      <c r="M141" s="3">
        <f>($B$36/7)*SUM(D141:H141)</f>
        <v>9283400768.2811813</v>
      </c>
      <c r="N141" s="3">
        <f>SUM(I141,K141)*B38/10+SUM(I142,J142)*B37/7</f>
        <v>3343072621.0176024</v>
      </c>
      <c r="O141" s="3">
        <f>SUM(D141:F141)*B36/10</f>
        <v>4427940010.7814398</v>
      </c>
    </row>
    <row r="142" spans="1:16" x14ac:dyDescent="0.35">
      <c r="A142" t="s">
        <v>97</v>
      </c>
      <c r="L142" s="68">
        <f>L140+L141</f>
        <v>36534793311.799385</v>
      </c>
      <c r="M142" s="3">
        <f>SUM(M140:M141)</f>
        <v>38751018066.554626</v>
      </c>
      <c r="N142" s="3">
        <f>SUM(B140:H140)*B37/10 + SUM(D141:I141)*B36/7</f>
        <v>39855933061.484001</v>
      </c>
      <c r="O142" s="3">
        <f>SUM(O140:O141)</f>
        <v>27016850395.414066</v>
      </c>
    </row>
    <row r="144" spans="1:16" x14ac:dyDescent="0.35">
      <c r="A144" s="1" t="s">
        <v>95</v>
      </c>
      <c r="M144" s="19" t="s">
        <v>97</v>
      </c>
    </row>
    <row r="145" spans="1:13" x14ac:dyDescent="0.35">
      <c r="A145" t="s">
        <v>96</v>
      </c>
      <c r="B145" s="3">
        <f t="shared" ref="B145:K145" si="55">($B$37/10)*B55+($B$36/7)*B64</f>
        <v>0</v>
      </c>
      <c r="C145" s="3">
        <f t="shared" si="55"/>
        <v>591161596.80500007</v>
      </c>
      <c r="D145" s="3">
        <f t="shared" si="55"/>
        <v>1138451414.9062598</v>
      </c>
      <c r="E145" s="3">
        <f t="shared" si="55"/>
        <v>1787620921.4946885</v>
      </c>
      <c r="F145" s="3">
        <f t="shared" si="55"/>
        <v>4047056727.037756</v>
      </c>
      <c r="G145" s="3">
        <f t="shared" si="55"/>
        <v>7695960798.4461832</v>
      </c>
      <c r="H145" s="3">
        <f t="shared" si="55"/>
        <v>13561802415.145353</v>
      </c>
      <c r="I145" s="3">
        <f t="shared" si="55"/>
        <v>20304436751.443352</v>
      </c>
      <c r="J145" s="3">
        <f t="shared" si="55"/>
        <v>30487190647.077065</v>
      </c>
      <c r="K145" s="3">
        <f t="shared" si="55"/>
        <v>49780096730.237251</v>
      </c>
      <c r="M145" s="3">
        <f>SUM(B145:K145)</f>
        <v>129393778002.5929</v>
      </c>
    </row>
    <row r="146" spans="1:13" x14ac:dyDescent="0.35">
      <c r="A146" t="s">
        <v>107</v>
      </c>
      <c r="B146" s="3">
        <f t="shared" ref="B146:K146" si="56">($B$37/10)*B81+($B$36/7)*B89</f>
        <v>0</v>
      </c>
      <c r="C146" s="3">
        <f t="shared" si="56"/>
        <v>1295095270.6731</v>
      </c>
      <c r="D146" s="3">
        <f t="shared" si="56"/>
        <v>2663646139.9646463</v>
      </c>
      <c r="E146" s="3">
        <f t="shared" si="56"/>
        <v>4808743417.4993896</v>
      </c>
      <c r="F146" s="3">
        <f t="shared" si="56"/>
        <v>7801902409.4083319</v>
      </c>
      <c r="G146" s="3">
        <f t="shared" si="56"/>
        <v>12467385712.668684</v>
      </c>
      <c r="H146" s="3">
        <f t="shared" si="56"/>
        <v>17854383601.284458</v>
      </c>
      <c r="I146" s="3">
        <f t="shared" si="56"/>
        <v>24214935325.192234</v>
      </c>
      <c r="J146" s="3">
        <f t="shared" si="56"/>
        <v>33911629720.32975</v>
      </c>
      <c r="K146" s="3">
        <f t="shared" si="56"/>
        <v>50833001252.192245</v>
      </c>
      <c r="M146" s="3">
        <f t="shared" ref="M146:M151" si="57">SUM(B146:K146)</f>
        <v>155850722849.21283</v>
      </c>
    </row>
    <row r="147" spans="1:13" x14ac:dyDescent="0.35">
      <c r="A147" t="s">
        <v>230</v>
      </c>
      <c r="B147" s="3">
        <f t="shared" ref="B147:K147" si="58">($B$37/10)*B120+($B$36/7)*B125</f>
        <v>0</v>
      </c>
      <c r="C147" s="3">
        <f t="shared" si="58"/>
        <v>1184362480.426667</v>
      </c>
      <c r="D147" s="3">
        <f t="shared" si="58"/>
        <v>4500097735.9542856</v>
      </c>
      <c r="E147" s="3">
        <f t="shared" si="58"/>
        <v>6424802127.5200014</v>
      </c>
      <c r="F147" s="3">
        <f t="shared" si="58"/>
        <v>9377388264.3985729</v>
      </c>
      <c r="G147" s="3">
        <f t="shared" si="58"/>
        <v>13431017135.588575</v>
      </c>
      <c r="H147" s="3">
        <f t="shared" si="58"/>
        <v>19217407833.368572</v>
      </c>
      <c r="I147" s="3">
        <f t="shared" si="58"/>
        <v>26345528167.248569</v>
      </c>
      <c r="J147" s="3">
        <f t="shared" si="58"/>
        <v>37754717993.164291</v>
      </c>
      <c r="K147" s="3">
        <f t="shared" si="58"/>
        <v>56300727214.246658</v>
      </c>
      <c r="M147" s="3">
        <f t="shared" si="57"/>
        <v>174536048951.9162</v>
      </c>
    </row>
    <row r="148" spans="1:13" x14ac:dyDescent="0.35">
      <c r="M148" s="3"/>
    </row>
    <row r="149" spans="1:13" x14ac:dyDescent="0.35">
      <c r="A149" t="s">
        <v>231</v>
      </c>
      <c r="B149" s="3">
        <f>B146-B145</f>
        <v>0</v>
      </c>
      <c r="C149" s="3">
        <f t="shared" ref="C149:J149" si="59">C146-C145</f>
        <v>703933673.86809993</v>
      </c>
      <c r="D149" s="3">
        <f t="shared" si="59"/>
        <v>1525194725.0583866</v>
      </c>
      <c r="E149" s="3">
        <f t="shared" si="59"/>
        <v>3021122496.0047011</v>
      </c>
      <c r="F149" s="3">
        <f t="shared" si="59"/>
        <v>3754845682.3705759</v>
      </c>
      <c r="G149" s="3">
        <f t="shared" si="59"/>
        <v>4771424914.2225008</v>
      </c>
      <c r="H149" s="3">
        <f t="shared" si="59"/>
        <v>4292581186.1391048</v>
      </c>
      <c r="I149" s="3">
        <f t="shared" si="59"/>
        <v>3910498573.7488823</v>
      </c>
      <c r="J149" s="3">
        <f t="shared" si="59"/>
        <v>3424439073.2526855</v>
      </c>
      <c r="K149" s="3">
        <f>K146-K145</f>
        <v>1052904521.9549942</v>
      </c>
      <c r="M149" s="3">
        <f t="shared" si="57"/>
        <v>26456944846.61993</v>
      </c>
    </row>
    <row r="150" spans="1:13" x14ac:dyDescent="0.35">
      <c r="M150" s="3"/>
    </row>
    <row r="151" spans="1:13" x14ac:dyDescent="0.35">
      <c r="A151" t="s">
        <v>232</v>
      </c>
      <c r="B151" s="3">
        <f>B147-B145</f>
        <v>0</v>
      </c>
      <c r="C151" s="3">
        <f t="shared" ref="C151:J151" si="60">C147-C145</f>
        <v>593200883.62166691</v>
      </c>
      <c r="D151" s="3">
        <f t="shared" si="60"/>
        <v>3361646321.0480261</v>
      </c>
      <c r="E151" s="3">
        <f t="shared" si="60"/>
        <v>4637181206.0253124</v>
      </c>
      <c r="F151" s="3">
        <f t="shared" si="60"/>
        <v>5330331537.360817</v>
      </c>
      <c r="G151" s="3">
        <f t="shared" si="60"/>
        <v>5735056337.1423922</v>
      </c>
      <c r="H151" s="3">
        <f t="shared" si="60"/>
        <v>5655605418.2232189</v>
      </c>
      <c r="I151" s="3">
        <f t="shared" si="60"/>
        <v>6041091415.8052177</v>
      </c>
      <c r="J151" s="3">
        <f t="shared" si="60"/>
        <v>7267527346.0872269</v>
      </c>
      <c r="K151" s="3">
        <f>K147-K145</f>
        <v>6520630484.009407</v>
      </c>
      <c r="M151" s="3">
        <f t="shared" si="57"/>
        <v>45142270949.32328</v>
      </c>
    </row>
    <row r="154" spans="1:13" x14ac:dyDescent="0.35">
      <c r="A154" s="1" t="s">
        <v>187</v>
      </c>
    </row>
    <row r="155" spans="1:13" x14ac:dyDescent="0.35">
      <c r="A155" t="s">
        <v>69</v>
      </c>
      <c r="B155" s="3">
        <f>L131</f>
        <v>85383063672.5</v>
      </c>
    </row>
    <row r="156" spans="1:13" x14ac:dyDescent="0.35">
      <c r="A156" t="s">
        <v>70</v>
      </c>
      <c r="B156" s="3">
        <f>L133</f>
        <v>19402000000</v>
      </c>
    </row>
    <row r="157" spans="1:13" x14ac:dyDescent="0.35">
      <c r="A157" t="s">
        <v>71</v>
      </c>
      <c r="B157" s="3">
        <f>L132</f>
        <v>45142270949.323242</v>
      </c>
    </row>
    <row r="158" spans="1:13" x14ac:dyDescent="0.35">
      <c r="A158" t="s">
        <v>72</v>
      </c>
      <c r="B158" s="3">
        <f>B155-B156-B157</f>
        <v>20838792723.176758</v>
      </c>
      <c r="C158" s="15" t="s">
        <v>6</v>
      </c>
      <c r="D158" s="16">
        <f>B158/1000000000</f>
        <v>20.838792723176759</v>
      </c>
      <c r="E158" t="s">
        <v>73</v>
      </c>
    </row>
    <row r="161" spans="1:18" x14ac:dyDescent="0.35">
      <c r="A161" s="1" t="s">
        <v>98</v>
      </c>
      <c r="N161" t="s">
        <v>102</v>
      </c>
      <c r="O161" t="s">
        <v>103</v>
      </c>
    </row>
    <row r="162" spans="1:18" x14ac:dyDescent="0.35">
      <c r="A162" t="s">
        <v>235</v>
      </c>
      <c r="B162" s="3">
        <f>($B$37/10)*B56+($B$36/7)*B65</f>
        <v>2488621200</v>
      </c>
      <c r="C162" s="3">
        <f t="shared" ref="C162:K162" si="61">($B$37/10)*C56+($B$36/7)*C65</f>
        <v>9259630653.1949997</v>
      </c>
      <c r="D162" s="3">
        <f t="shared" si="61"/>
        <v>20213762642.236595</v>
      </c>
      <c r="E162" s="3">
        <f t="shared" si="61"/>
        <v>25940601499.933884</v>
      </c>
      <c r="F162" s="3">
        <f t="shared" si="61"/>
        <v>32577921551.533676</v>
      </c>
      <c r="G162" s="3">
        <f t="shared" si="61"/>
        <v>39160286715.839531</v>
      </c>
      <c r="H162" s="3">
        <f t="shared" si="61"/>
        <v>45601624034.854645</v>
      </c>
      <c r="I162" s="3">
        <f t="shared" si="61"/>
        <v>53390357598.556648</v>
      </c>
      <c r="J162" s="3">
        <f t="shared" si="61"/>
        <v>65152934817.208649</v>
      </c>
      <c r="K162" s="3">
        <f t="shared" si="61"/>
        <v>68222025169.762749</v>
      </c>
      <c r="M162" t="str">
        <f>A162</f>
        <v>Netto inkomen vóór invoering BIDyn</v>
      </c>
      <c r="N162" s="11">
        <f>K162/SUM(B162:K162)</f>
        <v>0.18845459020287719</v>
      </c>
      <c r="O162" s="11">
        <f>SUM(B162:F162)/SUM(B162:K162)</f>
        <v>0.24994087440685428</v>
      </c>
    </row>
    <row r="163" spans="1:18" x14ac:dyDescent="0.35">
      <c r="A163" t="s">
        <v>236</v>
      </c>
      <c r="B163" s="3">
        <f>($B$37/10)*B121+($B$36/7)*B126</f>
        <v>4044009450</v>
      </c>
      <c r="C163" s="3">
        <f t="shared" ref="C163:K163" si="62">($B$37/10)*C121+($B$36/7)*C126</f>
        <v>15582031570.906668</v>
      </c>
      <c r="D163" s="3">
        <f t="shared" si="62"/>
        <v>28245894988.902855</v>
      </c>
      <c r="E163" s="3">
        <f t="shared" si="62"/>
        <v>32335891820.979996</v>
      </c>
      <c r="F163" s="3">
        <f t="shared" si="62"/>
        <v>37775912042.672859</v>
      </c>
      <c r="G163" s="3">
        <f t="shared" si="62"/>
        <v>43373780483.839996</v>
      </c>
      <c r="H163" s="3">
        <f t="shared" si="62"/>
        <v>49197161915.417145</v>
      </c>
      <c r="I163" s="3">
        <f t="shared" si="62"/>
        <v>55776965300.537148</v>
      </c>
      <c r="J163" s="3">
        <f t="shared" si="62"/>
        <v>65069537825.764282</v>
      </c>
      <c r="K163" s="3">
        <f t="shared" si="62"/>
        <v>63828474528.08667</v>
      </c>
      <c r="M163" t="str">
        <f>A163</f>
        <v>Netto inkomen ná invoering BIDyn+geoptimaliseerde IB</v>
      </c>
      <c r="N163" s="11">
        <f>K163/SUM(B163:K163)</f>
        <v>0.16149717746349954</v>
      </c>
      <c r="O163" s="11">
        <f>SUM(B163:F163)/SUM(B163:K163)</f>
        <v>0.29851944789574286</v>
      </c>
    </row>
    <row r="165" spans="1:18" x14ac:dyDescent="0.35">
      <c r="M165" s="46" t="s">
        <v>122</v>
      </c>
      <c r="N165" s="47"/>
      <c r="O165" s="48"/>
      <c r="P165" s="46" t="s">
        <v>136</v>
      </c>
      <c r="Q165" s="47"/>
      <c r="R165" s="48"/>
    </row>
    <row r="166" spans="1:18" x14ac:dyDescent="0.35">
      <c r="A166" s="1" t="s">
        <v>110</v>
      </c>
      <c r="M166" s="49" t="s">
        <v>48</v>
      </c>
      <c r="N166" s="50" t="s">
        <v>131</v>
      </c>
      <c r="O166" s="51" t="s">
        <v>133</v>
      </c>
      <c r="P166" s="49" t="s">
        <v>135</v>
      </c>
      <c r="Q166" s="50" t="s">
        <v>131</v>
      </c>
      <c r="R166" s="51" t="s">
        <v>133</v>
      </c>
    </row>
    <row r="167" spans="1:18" x14ac:dyDescent="0.35">
      <c r="A167" t="s">
        <v>117</v>
      </c>
      <c r="B167">
        <v>12600</v>
      </c>
      <c r="C167">
        <f>E110</f>
        <v>30000</v>
      </c>
      <c r="D167">
        <f>G110</f>
        <v>40000</v>
      </c>
      <c r="E167">
        <f>I110</f>
        <v>65000</v>
      </c>
      <c r="M167" s="52">
        <f>B167</f>
        <v>12600</v>
      </c>
      <c r="N167" s="53">
        <f>B169</f>
        <v>0</v>
      </c>
      <c r="O167" s="54">
        <f>B167-B168</f>
        <v>12600</v>
      </c>
      <c r="P167" s="52">
        <v>12600</v>
      </c>
      <c r="Q167" s="53" t="e">
        <f>F177</f>
        <v>#DIV/0!</v>
      </c>
      <c r="R167" s="54">
        <f>F176</f>
        <v>0</v>
      </c>
    </row>
    <row r="168" spans="1:18" x14ac:dyDescent="0.35">
      <c r="A168" t="s">
        <v>233</v>
      </c>
      <c r="B168" s="4">
        <f>IF(B167&lt;$C$110,$B$111*B167,IF(B167&lt;$E$110,(B167-$C$110)*$D$111+$C$110*$B$111,IF(B167&lt;$G$110,(B167-$E$110)*$F$111+($E$110-$C$110)*$D$111+$C$110*$B$111,IF(B167&lt;$I$110,(B167-$G$110)*$H$111+($G$110-$E$110)*$F$111+($E$110-$C$110)*$D$111+$C$110*$B$111,(B167-$I$110)*$J$111+($I$110-$G$110)*$H$111+($G$110-$E$110)*$F$111+($E$110-$C$110)*$D$111+$C$110*$B$111))))</f>
        <v>0</v>
      </c>
      <c r="C168" s="4">
        <f>IF(C167&lt;$C$110,$B$111*C167,IF(C167&lt;$E$110,(C167-$C$110)*$D$111+$C$110*$B$111,IF(C167&lt;$G$110,(C167-$E$110)*$F$111+($E$110-$C$110)*$D$111+$C$110*$B$111,IF(C167&lt;$I$110,(C167-$G$110)*$H$111+($G$110-$E$110)*$F$111+($E$110-$C$110)*$D$111+$C$110*$B$111,(C167-$I$110)*$J$111+($I$110-$G$110)*$H$111+($G$110-$E$110)*$F$111+($E$110-$C$110)*$D$111+$C$110*$B$111))))</f>
        <v>5568</v>
      </c>
      <c r="D168" s="4">
        <f>IF(D167&lt;$C$110,$B$111*D167,IF(D167&lt;$E$110,(D167-$C$110)*$D$111+$C$110*$B$111,IF(D167&lt;$G$110,(D167-$E$110)*$F$111+($E$110-$C$110)*$D$111+$C$110*$B$111,IF(D167&lt;$I$110,(D167-$G$110)*$H$111+($G$110-$E$110)*$F$111+($E$110-$C$110)*$D$111+$C$110*$B$111,(D167-$I$110)*$J$111+($I$110-$G$110)*$H$111+($G$110-$E$110)*$F$111+($E$110-$C$110)*$D$111+$C$110*$B$111))))</f>
        <v>9768</v>
      </c>
      <c r="E168" s="4">
        <f>IF(E167&lt;$C$110,$B$111*E167,IF(E167&lt;$E$110,(E167-$C$110)*$D$111+$C$110*$B$111,IF(E167&lt;$G$110,(E167-$E$110)*$F$111+($E$110-$C$110)*$D$111+$C$110*$B$111,IF(E167&lt;$I$110,(E167-$G$110)*$H$111+($G$110-$E$110)*$F$111+($E$110-$C$110)*$D$111+$C$110*$B$111,(E167-$I$110)*$J$111+($I$110-$G$110)*$H$111+($G$110-$E$110)*$F$111+($E$110-$C$110)*$D$111+$C$110*$B$111))))</f>
        <v>22768</v>
      </c>
      <c r="M168" s="52">
        <f>C167</f>
        <v>30000</v>
      </c>
      <c r="N168" s="53">
        <f>C169</f>
        <v>0.18559999999999999</v>
      </c>
      <c r="O168" s="54">
        <f>C167-C168</f>
        <v>24432</v>
      </c>
      <c r="P168" s="52">
        <v>12600</v>
      </c>
      <c r="Q168" s="53" t="e">
        <f>F177</f>
        <v>#DIV/0!</v>
      </c>
      <c r="R168" s="54">
        <f>F176</f>
        <v>0</v>
      </c>
    </row>
    <row r="169" spans="1:18" s="17" customFormat="1" x14ac:dyDescent="0.35">
      <c r="A169" s="17" t="s">
        <v>234</v>
      </c>
      <c r="B169" s="24">
        <f>B168/B167</f>
        <v>0</v>
      </c>
      <c r="C169" s="24">
        <f>C168/C167</f>
        <v>0.18559999999999999</v>
      </c>
      <c r="D169" s="24">
        <f>D168/D167</f>
        <v>0.2442</v>
      </c>
      <c r="E169" s="24">
        <f>E168/E167</f>
        <v>0.3502769230769231</v>
      </c>
      <c r="M169" s="52">
        <f>D167</f>
        <v>40000</v>
      </c>
      <c r="N169" s="53">
        <f>D169</f>
        <v>0.2442</v>
      </c>
      <c r="O169" s="54">
        <f>D167-D168</f>
        <v>30232</v>
      </c>
      <c r="P169" s="52">
        <f>D171</f>
        <v>0</v>
      </c>
      <c r="Q169" s="53" t="e">
        <f>D177</f>
        <v>#DIV/0!</v>
      </c>
      <c r="R169" s="54">
        <f>D176</f>
        <v>0</v>
      </c>
    </row>
    <row r="170" spans="1:18" x14ac:dyDescent="0.35">
      <c r="F170" s="9" t="s">
        <v>132</v>
      </c>
      <c r="M170" s="55">
        <f>E167</f>
        <v>65000</v>
      </c>
      <c r="N170" s="56">
        <f>E169</f>
        <v>0.3502769230769231</v>
      </c>
      <c r="O170" s="57">
        <f>E167-E168</f>
        <v>42232</v>
      </c>
      <c r="P170" s="55">
        <f>E171</f>
        <v>0</v>
      </c>
      <c r="Q170" s="56" t="e">
        <f>E177</f>
        <v>#DIV/0!</v>
      </c>
      <c r="R170" s="57">
        <f>E176</f>
        <v>0</v>
      </c>
    </row>
    <row r="171" spans="1:18" x14ac:dyDescent="0.35">
      <c r="A171" t="s">
        <v>116</v>
      </c>
    </row>
    <row r="172" spans="1:18" x14ac:dyDescent="0.35">
      <c r="A172" t="s">
        <v>50</v>
      </c>
      <c r="B172" s="4">
        <f>IF(B171&lt;68507,37.35%*B171,(37.35%*68507+(B171-68507)*49.5%))</f>
        <v>0</v>
      </c>
      <c r="C172" s="4">
        <f>IF(C171&lt;68507,37.35%*C171,(37.35%*68507+(C171-68507)*49.5%))</f>
        <v>0</v>
      </c>
      <c r="D172" s="4">
        <f>IF(D171&lt;68507,37.35%*D171,(37.35%*68507+(D171-68507)*49.5%))</f>
        <v>0</v>
      </c>
      <c r="E172" s="4">
        <f>IF(E171&lt;68507,37.35%*E171,(37.35%*68507+(E171-68507)*49.5%))</f>
        <v>0</v>
      </c>
      <c r="F172" s="4">
        <f>IF(F171&lt;68507,37.35%*F171,(37.35%*68507+(F171-68507)*49.5%))</f>
        <v>0</v>
      </c>
    </row>
    <row r="173" spans="1:18" x14ac:dyDescent="0.35">
      <c r="A173" t="s">
        <v>113</v>
      </c>
      <c r="B173" s="4">
        <f>IF(B171&lt;20711,2711,IF(B171&lt;68507,(2711-0.05672*(B171-20711)),0))</f>
        <v>2711</v>
      </c>
      <c r="C173" s="4">
        <f>IF(C171&lt;20711,2711,IF(C171&lt;68507,(2711-0.05672*(C171-20711)),0))</f>
        <v>2711</v>
      </c>
      <c r="D173" s="4">
        <f>IF(D171&lt;20711,2711,IF(D171&lt;68507,(2711-0.05672*(D171-20711)),0))</f>
        <v>2711</v>
      </c>
      <c r="E173" s="4">
        <f>IF(E171&lt;20711,2711,IF(E171&lt;68507,(2711-0.05672*(E171-20711)),0))</f>
        <v>2711</v>
      </c>
      <c r="F173" s="4">
        <f>IF(F171&lt;20711,2711,IF(F171&lt;68507,(2711-0.05672*(F171-20711)),0))</f>
        <v>2711</v>
      </c>
    </row>
    <row r="174" spans="1:18" x14ac:dyDescent="0.35">
      <c r="A174" t="s">
        <v>23</v>
      </c>
      <c r="B174" s="4">
        <f>IF(B171&lt;9921,0.02812*B171,IF(B171&lt;21430,279+0.28812*(B171-9921),IF(B171&lt;34954,3595+0.01656*(B171-21430),IF(B171&lt;98604,3819-0.06*(B171-34954),0))))</f>
        <v>0</v>
      </c>
      <c r="C174" s="4">
        <f>IF(C171&lt;9921,0.02812*C171,IF(C171&lt;21430,279+0.28812*(C171-9921),IF(C171&lt;34954,3595+0.01656*(C171-21430),IF(C171&lt;98604,3819-0.06*(C171-34954),0))))</f>
        <v>0</v>
      </c>
      <c r="D174" s="4">
        <f>IF(D171&lt;9921,0.02812*D171,IF(D171&lt;21430,279+0.28812*(D171-9921),IF(D171&lt;34954,3595+0.01656*(D171-21430),IF(D171&lt;98604,3819-0.06*(D171-34954),0))))</f>
        <v>0</v>
      </c>
      <c r="E174" s="4">
        <f>IF(E171&lt;9921,0.02812*E171,IF(E171&lt;21430,279+0.28812*(E171-9921),IF(E171&lt;34954,3595+0.01656*(E171-21430),IF(E171&lt;98604,3819-0.06*(E171-34954),0))))</f>
        <v>0</v>
      </c>
      <c r="F174" s="4">
        <f>IF(F171&lt;9921,0.02812*F171,IF(F171&lt;21430,279+0.28812*(F171-9921),IF(F171&lt;34954,3595+0.01656*(F171-21430),IF(F171&lt;98604,3819-0.06*(F171-34954),0))))</f>
        <v>0</v>
      </c>
    </row>
    <row r="175" spans="1:18" x14ac:dyDescent="0.35">
      <c r="A175" t="s">
        <v>114</v>
      </c>
      <c r="B175" s="4">
        <f>IF(B172-B173-B174&lt;0,0,B172-B173-B174)</f>
        <v>0</v>
      </c>
      <c r="C175" s="4">
        <f>IF(C172-C173-C174&lt;0,0,C172-C173-C174)</f>
        <v>0</v>
      </c>
      <c r="D175" s="4">
        <f>IF(D172-D173-D174&lt;0,0,D172-D173-D174)</f>
        <v>0</v>
      </c>
      <c r="E175" s="4">
        <f>IF(E172-E173-E174&lt;0,0,E172-E173-E174)</f>
        <v>0</v>
      </c>
      <c r="F175" s="4">
        <f>IF(F172-F173-F174&lt;0,0,F172-F173-F174)</f>
        <v>0</v>
      </c>
    </row>
    <row r="176" spans="1:18" x14ac:dyDescent="0.35">
      <c r="A176" t="s">
        <v>134</v>
      </c>
      <c r="D176" s="4">
        <f>D171-D175</f>
        <v>0</v>
      </c>
      <c r="E176" s="4">
        <f>E171-E175</f>
        <v>0</v>
      </c>
      <c r="F176" s="4">
        <f>F171-F175</f>
        <v>0</v>
      </c>
    </row>
    <row r="177" spans="1:6" x14ac:dyDescent="0.35">
      <c r="A177" s="17" t="s">
        <v>115</v>
      </c>
      <c r="B177" s="17">
        <v>0</v>
      </c>
      <c r="C177" s="25" t="e">
        <f>C175/C171</f>
        <v>#DIV/0!</v>
      </c>
      <c r="D177" s="25" t="e">
        <f>D175/D171</f>
        <v>#DIV/0!</v>
      </c>
      <c r="E177" s="25" t="e">
        <f>E175/E171</f>
        <v>#DIV/0!</v>
      </c>
      <c r="F177" s="25" t="e">
        <f>F175/F171</f>
        <v>#DIV/0!</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09FC-31B8-4DE0-A12D-D7375D33130F}">
  <dimension ref="A1:AA177"/>
  <sheetViews>
    <sheetView topLeftCell="B114" workbookViewId="0">
      <selection activeCell="G111" sqref="G111"/>
    </sheetView>
  </sheetViews>
  <sheetFormatPr defaultRowHeight="14.5" x14ac:dyDescent="0.35"/>
  <cols>
    <col min="1" max="1" width="38.453125" customWidth="1"/>
    <col min="2" max="2" width="16.7265625" bestFit="1" customWidth="1"/>
    <col min="3" max="3" width="9.453125" bestFit="1" customWidth="1"/>
    <col min="4" max="4" width="10.81640625" customWidth="1"/>
    <col min="7" max="7" width="9.453125" customWidth="1"/>
    <col min="12" max="12" width="14.26953125" bestFit="1" customWidth="1"/>
    <col min="13" max="13" width="24" customWidth="1"/>
    <col min="14" max="15" width="13" bestFit="1" customWidth="1"/>
    <col min="17" max="17" width="35.7265625" customWidth="1"/>
    <col min="20" max="20" width="9.26953125" bestFit="1" customWidth="1"/>
    <col min="21" max="21" width="10.1796875" bestFit="1" customWidth="1"/>
    <col min="22" max="22" width="12.26953125" bestFit="1" customWidth="1"/>
    <col min="23" max="23" width="13.453125" bestFit="1" customWidth="1"/>
  </cols>
  <sheetData>
    <row r="1" spans="1:23" ht="21" x14ac:dyDescent="0.5">
      <c r="A1" s="2" t="s">
        <v>263</v>
      </c>
      <c r="B1" s="5"/>
      <c r="C1" t="s">
        <v>147</v>
      </c>
      <c r="D1" s="19" t="s">
        <v>177</v>
      </c>
    </row>
    <row r="2" spans="1:23" ht="21" x14ac:dyDescent="0.5">
      <c r="A2" s="2"/>
      <c r="B2" s="37" t="s">
        <v>175</v>
      </c>
      <c r="C2">
        <f>BIDyn!C2</f>
        <v>0</v>
      </c>
      <c r="D2">
        <v>11000</v>
      </c>
    </row>
    <row r="3" spans="1:23" ht="21" x14ac:dyDescent="0.5">
      <c r="A3" s="2"/>
      <c r="B3" s="37" t="s">
        <v>176</v>
      </c>
      <c r="C3" s="4">
        <v>150000</v>
      </c>
      <c r="D3">
        <v>0</v>
      </c>
    </row>
    <row r="4" spans="1:23" ht="21" x14ac:dyDescent="0.5">
      <c r="A4" s="2"/>
      <c r="B4" s="37" t="s">
        <v>214</v>
      </c>
      <c r="D4" s="66">
        <f>(D2-D3)/(C2-C3)</f>
        <v>-7.3333333333333334E-2</v>
      </c>
    </row>
    <row r="5" spans="1:23" ht="21" x14ac:dyDescent="0.5">
      <c r="A5" s="2"/>
      <c r="B5" s="37" t="s">
        <v>237</v>
      </c>
      <c r="D5" s="4">
        <f>D2*C3/(C3-C2)</f>
        <v>11000</v>
      </c>
      <c r="E5" s="3"/>
    </row>
    <row r="6" spans="1:23" ht="21" x14ac:dyDescent="0.5">
      <c r="A6" s="2"/>
      <c r="B6" s="37"/>
      <c r="D6" t="s">
        <v>205</v>
      </c>
      <c r="F6" s="3">
        <f>L134</f>
        <v>40824282192.007217</v>
      </c>
    </row>
    <row r="7" spans="1:23" x14ac:dyDescent="0.35">
      <c r="A7" t="s">
        <v>200</v>
      </c>
      <c r="B7" s="37"/>
    </row>
    <row r="8" spans="1:23" x14ac:dyDescent="0.35">
      <c r="A8" s="61"/>
      <c r="B8" s="61" t="s">
        <v>2</v>
      </c>
      <c r="C8" s="61" t="s">
        <v>3</v>
      </c>
      <c r="D8" s="61" t="s">
        <v>4</v>
      </c>
      <c r="E8" s="61" t="s">
        <v>57</v>
      </c>
    </row>
    <row r="9" spans="1:23" x14ac:dyDescent="0.35">
      <c r="A9" s="61" t="s">
        <v>1</v>
      </c>
      <c r="B9" s="62">
        <v>13490325</v>
      </c>
      <c r="C9" s="61">
        <f>12*1050</f>
        <v>12600</v>
      </c>
      <c r="D9" s="61">
        <f>0.05*C9</f>
        <v>630</v>
      </c>
      <c r="E9" s="62">
        <f>B9*(C9+D9)</f>
        <v>178476999750</v>
      </c>
    </row>
    <row r="10" spans="1:23" x14ac:dyDescent="0.35">
      <c r="A10" s="61" t="s">
        <v>54</v>
      </c>
      <c r="B10" s="62">
        <v>3791838</v>
      </c>
      <c r="C10" s="61">
        <v>1500</v>
      </c>
      <c r="D10" s="61">
        <f>0.05*1200</f>
        <v>60</v>
      </c>
      <c r="E10" s="62">
        <f>B10*(C10+D10)</f>
        <v>5915267280</v>
      </c>
      <c r="G10" s="3">
        <f>E9+E10</f>
        <v>184392267030</v>
      </c>
      <c r="T10" s="18"/>
      <c r="U10" s="18"/>
      <c r="V10" s="18"/>
      <c r="W10" s="18"/>
    </row>
    <row r="11" spans="1:23" x14ac:dyDescent="0.35">
      <c r="A11" s="61" t="s">
        <v>7</v>
      </c>
      <c r="B11" s="62"/>
      <c r="C11" s="61"/>
      <c r="D11" s="61"/>
      <c r="E11" s="62">
        <f>0.15*E25</f>
        <v>4410300000</v>
      </c>
      <c r="T11" s="18"/>
      <c r="U11" s="18"/>
      <c r="V11" s="18"/>
      <c r="W11" s="18"/>
    </row>
    <row r="12" spans="1:23" x14ac:dyDescent="0.35">
      <c r="A12" s="61" t="s">
        <v>56</v>
      </c>
      <c r="B12" s="61"/>
      <c r="C12" s="61"/>
      <c r="D12" s="61"/>
      <c r="E12" s="62">
        <f>SUM(E9:E11)</f>
        <v>188802567030</v>
      </c>
      <c r="F12" t="s">
        <v>6</v>
      </c>
      <c r="M12" s="13">
        <f>E12</f>
        <v>188802567030</v>
      </c>
      <c r="T12" s="18"/>
      <c r="U12" s="18"/>
      <c r="V12" s="18"/>
      <c r="W12" s="18"/>
    </row>
    <row r="13" spans="1:23" x14ac:dyDescent="0.35">
      <c r="A13" s="61" t="s">
        <v>5</v>
      </c>
      <c r="B13" s="62">
        <f>SUM(B9:B10)</f>
        <v>17282163</v>
      </c>
      <c r="C13" s="61"/>
      <c r="D13" s="61"/>
      <c r="E13" s="61"/>
      <c r="T13" s="18"/>
      <c r="U13" s="18"/>
      <c r="V13" s="18"/>
      <c r="W13" s="18"/>
    </row>
    <row r="14" spans="1:23" x14ac:dyDescent="0.35">
      <c r="B14" s="3"/>
      <c r="T14" s="18"/>
      <c r="U14" s="18"/>
      <c r="V14" s="18"/>
      <c r="W14" s="18"/>
    </row>
    <row r="15" spans="1:23" x14ac:dyDescent="0.35">
      <c r="A15" t="s">
        <v>185</v>
      </c>
      <c r="T15" s="18"/>
      <c r="U15" s="18"/>
      <c r="V15" s="18"/>
      <c r="W15" s="18"/>
    </row>
    <row r="16" spans="1:23" x14ac:dyDescent="0.35">
      <c r="A16" s="1" t="s">
        <v>77</v>
      </c>
      <c r="B16" t="s">
        <v>2</v>
      </c>
      <c r="C16" t="s">
        <v>13</v>
      </c>
      <c r="D16" t="s">
        <v>14</v>
      </c>
      <c r="E16" t="s">
        <v>5</v>
      </c>
      <c r="T16" s="18"/>
      <c r="U16" s="18"/>
      <c r="V16" s="18"/>
      <c r="W16" s="18"/>
    </row>
    <row r="17" spans="1:23" x14ac:dyDescent="0.35">
      <c r="A17" t="s">
        <v>8</v>
      </c>
      <c r="B17" s="3">
        <v>1400000</v>
      </c>
      <c r="C17" s="3">
        <v>85000000</v>
      </c>
      <c r="D17" s="3">
        <v>3600000000</v>
      </c>
      <c r="E17" s="3">
        <f>C17+D17</f>
        <v>3685000000</v>
      </c>
      <c r="F17" s="3"/>
      <c r="T17" s="18"/>
      <c r="U17" s="18"/>
      <c r="V17" s="18"/>
      <c r="W17" s="18"/>
    </row>
    <row r="18" spans="1:23" x14ac:dyDescent="0.35">
      <c r="A18" t="s">
        <v>9</v>
      </c>
      <c r="B18" s="3">
        <v>4500000</v>
      </c>
      <c r="C18" s="3">
        <v>68000000</v>
      </c>
      <c r="D18" s="3">
        <v>4700000000</v>
      </c>
      <c r="E18" s="3">
        <f>C18+D18</f>
        <v>4768000000</v>
      </c>
      <c r="F18" s="3"/>
      <c r="T18" s="18"/>
      <c r="U18" s="18"/>
      <c r="V18" s="18"/>
      <c r="W18" s="18"/>
    </row>
    <row r="19" spans="1:23" x14ac:dyDescent="0.35">
      <c r="A19" t="s">
        <v>10</v>
      </c>
      <c r="B19" s="3">
        <v>1870000</v>
      </c>
      <c r="D19" s="3">
        <v>3300000000</v>
      </c>
      <c r="E19" s="3">
        <v>3300000000</v>
      </c>
      <c r="F19" s="3"/>
    </row>
    <row r="20" spans="1:23" x14ac:dyDescent="0.35">
      <c r="A20" t="s">
        <v>11</v>
      </c>
      <c r="B20" s="3">
        <v>700000</v>
      </c>
      <c r="C20" s="3">
        <v>20000000</v>
      </c>
      <c r="D20" s="3">
        <v>1900000000</v>
      </c>
      <c r="E20" s="3">
        <f>C20+D20</f>
        <v>1920000000</v>
      </c>
      <c r="F20" s="3"/>
    </row>
    <row r="21" spans="1:23" x14ac:dyDescent="0.35">
      <c r="A21" t="s">
        <v>12</v>
      </c>
      <c r="B21" s="3">
        <v>600000</v>
      </c>
      <c r="C21" s="3">
        <v>69000000</v>
      </c>
      <c r="D21" s="3">
        <v>2600000000</v>
      </c>
      <c r="E21" s="3">
        <f>C21+D21</f>
        <v>2669000000</v>
      </c>
      <c r="F21" s="3"/>
    </row>
    <row r="22" spans="1:23" x14ac:dyDescent="0.35">
      <c r="A22" t="s">
        <v>55</v>
      </c>
      <c r="B22" s="3">
        <v>400000</v>
      </c>
      <c r="C22" s="3"/>
      <c r="D22" s="3">
        <v>14000</v>
      </c>
      <c r="E22" s="3">
        <f>D22*B22</f>
        <v>5600000000</v>
      </c>
      <c r="H22" s="3"/>
    </row>
    <row r="23" spans="1:23" x14ac:dyDescent="0.35">
      <c r="A23" t="s">
        <v>28</v>
      </c>
      <c r="B23" s="3"/>
      <c r="C23" s="3"/>
      <c r="D23" s="3"/>
      <c r="E23" s="3">
        <v>5000000000</v>
      </c>
    </row>
    <row r="24" spans="1:23" x14ac:dyDescent="0.35">
      <c r="A24" t="s">
        <v>59</v>
      </c>
      <c r="B24" s="3"/>
      <c r="C24" s="3"/>
      <c r="D24" s="3"/>
      <c r="E24" s="3">
        <v>2460000000</v>
      </c>
    </row>
    <row r="25" spans="1:23" x14ac:dyDescent="0.35">
      <c r="A25" t="s">
        <v>5</v>
      </c>
      <c r="B25" s="3"/>
      <c r="C25" s="3">
        <f>SUM(C17:C24)</f>
        <v>242000000</v>
      </c>
      <c r="D25" s="3">
        <f>SUM(D17:D24)</f>
        <v>16100014000</v>
      </c>
      <c r="E25" s="3">
        <f>SUM(E17:E24)</f>
        <v>29402000000</v>
      </c>
      <c r="F25" s="3">
        <f>E25</f>
        <v>29402000000</v>
      </c>
      <c r="M25" s="3"/>
    </row>
    <row r="26" spans="1:23" x14ac:dyDescent="0.35">
      <c r="B26" s="3"/>
      <c r="C26" s="3"/>
      <c r="D26" s="3"/>
      <c r="E26" s="3"/>
    </row>
    <row r="27" spans="1:23" x14ac:dyDescent="0.35">
      <c r="A27" s="1" t="s">
        <v>58</v>
      </c>
    </row>
    <row r="28" spans="1:23" x14ac:dyDescent="0.35">
      <c r="A28" t="s">
        <v>33</v>
      </c>
      <c r="B28" s="3">
        <v>250000</v>
      </c>
      <c r="C28">
        <f>D2</f>
        <v>11000</v>
      </c>
      <c r="E28" s="3">
        <f>B28*C28</f>
        <v>2750000000</v>
      </c>
      <c r="M28" s="3"/>
    </row>
    <row r="30" spans="1:23" x14ac:dyDescent="0.35">
      <c r="A30" s="6" t="s">
        <v>41</v>
      </c>
      <c r="E30" s="12">
        <f>E28+E25</f>
        <v>32152000000</v>
      </c>
      <c r="M30" s="7"/>
    </row>
    <row r="32" spans="1:23" x14ac:dyDescent="0.35">
      <c r="A32" t="s">
        <v>242</v>
      </c>
      <c r="F32" s="3">
        <v>10000000000</v>
      </c>
    </row>
    <row r="33" spans="1:14" x14ac:dyDescent="0.35">
      <c r="E33" s="3"/>
    </row>
    <row r="34" spans="1:14" x14ac:dyDescent="0.35">
      <c r="A34" t="s">
        <v>183</v>
      </c>
      <c r="E34" s="3"/>
      <c r="F34" s="3">
        <f>F25-F32</f>
        <v>19402000000</v>
      </c>
      <c r="M34" s="45">
        <f>F34</f>
        <v>19402000000</v>
      </c>
    </row>
    <row r="35" spans="1:14" x14ac:dyDescent="0.35">
      <c r="A35" t="s">
        <v>27</v>
      </c>
    </row>
    <row r="36" spans="1:14" x14ac:dyDescent="0.35">
      <c r="A36" t="s">
        <v>17</v>
      </c>
      <c r="B36">
        <v>3121070</v>
      </c>
    </row>
    <row r="37" spans="1:14" x14ac:dyDescent="0.35">
      <c r="A37" t="s">
        <v>18</v>
      </c>
      <c r="B37">
        <v>10369255</v>
      </c>
    </row>
    <row r="38" spans="1:14" x14ac:dyDescent="0.35">
      <c r="A38" t="s">
        <v>26</v>
      </c>
      <c r="B38">
        <v>13490325</v>
      </c>
    </row>
    <row r="39" spans="1:14" x14ac:dyDescent="0.35">
      <c r="A39" s="1" t="s">
        <v>199</v>
      </c>
      <c r="N39" t="s">
        <v>179</v>
      </c>
    </row>
    <row r="40" spans="1:14" x14ac:dyDescent="0.35">
      <c r="B40" s="4"/>
      <c r="C40" s="4"/>
      <c r="D40" s="4"/>
      <c r="E40" s="4"/>
      <c r="F40" s="4"/>
      <c r="G40" s="4"/>
      <c r="H40" s="36"/>
      <c r="I40" s="4"/>
      <c r="J40" s="4"/>
      <c r="K40" s="4"/>
    </row>
    <row r="41" spans="1:14" x14ac:dyDescent="0.35">
      <c r="A41" t="s">
        <v>217</v>
      </c>
      <c r="B41" s="4">
        <f>C10</f>
        <v>1500</v>
      </c>
      <c r="C41" s="4">
        <f>4/5*($D$4*C50+$D$5)+(0.2*$C$10)</f>
        <v>8542.6666666666679</v>
      </c>
      <c r="D41" s="4">
        <f>$D$4*D50+$D$5</f>
        <v>9944</v>
      </c>
      <c r="E41" s="4">
        <f>$D$4*E50+$D$5</f>
        <v>9628.6666666666661</v>
      </c>
      <c r="F41" s="4">
        <f t="shared" ref="F41:K41" si="0">$D$4*F50+$D$5</f>
        <v>9188.6666666666661</v>
      </c>
      <c r="G41" s="4">
        <f t="shared" si="0"/>
        <v>8682.6666666666661</v>
      </c>
      <c r="H41" s="4">
        <f t="shared" si="0"/>
        <v>8074</v>
      </c>
      <c r="I41" s="4">
        <f t="shared" si="0"/>
        <v>7355.3333333333339</v>
      </c>
      <c r="J41" s="4">
        <f t="shared" si="0"/>
        <v>6270</v>
      </c>
      <c r="K41" s="4">
        <f t="shared" si="0"/>
        <v>2654.6666666666661</v>
      </c>
      <c r="N41" s="3">
        <f>SUM(C41:K41)*B38/10</f>
        <v>94891845405.000015</v>
      </c>
    </row>
    <row r="42" spans="1:14" x14ac:dyDescent="0.35">
      <c r="A42" t="s">
        <v>202</v>
      </c>
      <c r="N42" s="3">
        <f>E10</f>
        <v>5915267280</v>
      </c>
    </row>
    <row r="43" spans="1:14" x14ac:dyDescent="0.35">
      <c r="A43" t="s">
        <v>7</v>
      </c>
      <c r="N43" s="3">
        <f>E11</f>
        <v>4410300000</v>
      </c>
    </row>
    <row r="44" spans="1:14" x14ac:dyDescent="0.35">
      <c r="A44" t="s">
        <v>241</v>
      </c>
      <c r="N44" s="3">
        <f>B22*(C9-D2)</f>
        <v>640000000</v>
      </c>
    </row>
    <row r="45" spans="1:14" x14ac:dyDescent="0.35">
      <c r="A45" s="8" t="s">
        <v>201</v>
      </c>
      <c r="B45" s="8"/>
      <c r="C45" s="8"/>
      <c r="D45" s="8"/>
      <c r="E45" s="8"/>
      <c r="F45" s="8"/>
      <c r="G45" s="8"/>
      <c r="H45" s="8"/>
      <c r="I45" s="8"/>
      <c r="J45" s="8"/>
      <c r="K45" s="8"/>
      <c r="L45" s="8"/>
      <c r="M45" s="8"/>
      <c r="N45" s="13">
        <f>SUM(N41:N44)</f>
        <v>105857412685.00002</v>
      </c>
    </row>
    <row r="47" spans="1:14" ht="18.5" x14ac:dyDescent="0.45">
      <c r="A47" s="5" t="s">
        <v>34</v>
      </c>
    </row>
    <row r="48" spans="1:14" x14ac:dyDescent="0.35">
      <c r="A48" t="s">
        <v>19</v>
      </c>
      <c r="B48">
        <v>1</v>
      </c>
      <c r="C48">
        <v>2</v>
      </c>
      <c r="D48">
        <v>3</v>
      </c>
      <c r="E48">
        <v>4</v>
      </c>
      <c r="F48">
        <v>5</v>
      </c>
      <c r="G48">
        <v>6</v>
      </c>
      <c r="H48">
        <v>7</v>
      </c>
      <c r="I48">
        <v>8</v>
      </c>
      <c r="J48">
        <v>9</v>
      </c>
      <c r="K48">
        <v>10</v>
      </c>
    </row>
    <row r="49" spans="1:19" x14ac:dyDescent="0.35">
      <c r="A49" s="1" t="s">
        <v>124</v>
      </c>
    </row>
    <row r="50" spans="1:19" x14ac:dyDescent="0.35">
      <c r="A50" t="s">
        <v>64</v>
      </c>
      <c r="B50" s="4">
        <v>2400</v>
      </c>
      <c r="C50" s="4">
        <v>9500</v>
      </c>
      <c r="D50" s="4">
        <v>14400</v>
      </c>
      <c r="E50" s="4">
        <v>18700</v>
      </c>
      <c r="F50" s="4">
        <v>24700</v>
      </c>
      <c r="G50" s="4">
        <v>31600</v>
      </c>
      <c r="H50" s="36">
        <v>39900</v>
      </c>
      <c r="I50" s="4">
        <v>49700</v>
      </c>
      <c r="J50" s="4">
        <v>64500</v>
      </c>
      <c r="K50" s="4">
        <v>113800</v>
      </c>
    </row>
    <row r="51" spans="1:19" x14ac:dyDescent="0.35">
      <c r="A51" t="s">
        <v>22</v>
      </c>
      <c r="B51" s="4"/>
      <c r="C51" s="4"/>
      <c r="D51" s="4"/>
      <c r="E51" s="4"/>
      <c r="F51" s="4"/>
      <c r="G51" s="4"/>
      <c r="H51" s="4"/>
      <c r="I51" s="4"/>
      <c r="J51" s="4"/>
      <c r="K51" s="4"/>
    </row>
    <row r="52" spans="1:19" x14ac:dyDescent="0.35">
      <c r="A52" t="s">
        <v>20</v>
      </c>
      <c r="B52" s="4">
        <f t="shared" ref="B52:K52" si="1">IF(B50&lt;68507,37.35%*B50,(37.35%*68507+(B50-68507)*49.5%))</f>
        <v>896.4</v>
      </c>
      <c r="C52" s="4">
        <f t="shared" si="1"/>
        <v>3548.25</v>
      </c>
      <c r="D52" s="4">
        <f t="shared" si="1"/>
        <v>5378.4</v>
      </c>
      <c r="E52" s="4">
        <f t="shared" si="1"/>
        <v>6984.45</v>
      </c>
      <c r="F52" s="4">
        <f t="shared" si="1"/>
        <v>9225.4500000000007</v>
      </c>
      <c r="G52" s="4">
        <f t="shared" si="1"/>
        <v>11802.6</v>
      </c>
      <c r="H52" s="4">
        <f t="shared" si="1"/>
        <v>14902.65</v>
      </c>
      <c r="I52" s="4">
        <f t="shared" si="1"/>
        <v>18562.95</v>
      </c>
      <c r="J52" s="4">
        <f t="shared" si="1"/>
        <v>24090.75</v>
      </c>
      <c r="K52" s="4">
        <f t="shared" si="1"/>
        <v>48007.3995</v>
      </c>
    </row>
    <row r="53" spans="1:19" x14ac:dyDescent="0.35">
      <c r="A53" t="s">
        <v>21</v>
      </c>
      <c r="B53" s="4">
        <f t="shared" ref="B53:K53" si="2">IF(B50&lt;20711,2711,IF(B50&lt;68507,(2711-0.05672*(B50-20711)),0))</f>
        <v>2711</v>
      </c>
      <c r="C53" s="4">
        <f t="shared" si="2"/>
        <v>2711</v>
      </c>
      <c r="D53" s="4">
        <f t="shared" si="2"/>
        <v>2711</v>
      </c>
      <c r="E53" s="4">
        <f t="shared" si="2"/>
        <v>2711</v>
      </c>
      <c r="F53" s="4">
        <f t="shared" si="2"/>
        <v>2484.7439199999999</v>
      </c>
      <c r="G53" s="4">
        <f t="shared" si="2"/>
        <v>2093.37592</v>
      </c>
      <c r="H53" s="4">
        <f t="shared" si="2"/>
        <v>1622.5999200000001</v>
      </c>
      <c r="I53" s="4">
        <f t="shared" si="2"/>
        <v>1066.7439200000001</v>
      </c>
      <c r="J53" s="4">
        <f t="shared" si="2"/>
        <v>227.28792000000021</v>
      </c>
      <c r="K53" s="4">
        <f t="shared" si="2"/>
        <v>0</v>
      </c>
      <c r="R53" t="s">
        <v>76</v>
      </c>
    </row>
    <row r="54" spans="1:19" x14ac:dyDescent="0.35">
      <c r="A54" t="s">
        <v>23</v>
      </c>
      <c r="B54" s="4">
        <f t="shared" ref="B54:K54" si="3">IF(B50&lt;9921,0.02812*B50,IF(B50&lt;21430,279+0.28812*(B50-9921),IF(B50&lt;34954,3595+0.01656*(B50-21430),IF(B50&lt;98604,3819-0.06*(B50-34954),0))))</f>
        <v>67.488</v>
      </c>
      <c r="C54" s="4">
        <f t="shared" si="3"/>
        <v>267.14</v>
      </c>
      <c r="D54" s="4">
        <f t="shared" si="3"/>
        <v>1569.48948</v>
      </c>
      <c r="E54" s="4">
        <f t="shared" si="3"/>
        <v>2808.4054799999999</v>
      </c>
      <c r="F54" s="4">
        <f t="shared" si="3"/>
        <v>3649.1511999999998</v>
      </c>
      <c r="G54" s="4">
        <f t="shared" si="3"/>
        <v>3763.4151999999999</v>
      </c>
      <c r="H54" s="4">
        <f t="shared" si="3"/>
        <v>3522.24</v>
      </c>
      <c r="I54" s="4">
        <f t="shared" si="3"/>
        <v>2934.24</v>
      </c>
      <c r="J54" s="4">
        <f t="shared" si="3"/>
        <v>2046.24</v>
      </c>
      <c r="K54" s="4">
        <f t="shared" si="3"/>
        <v>0</v>
      </c>
      <c r="O54" t="s">
        <v>74</v>
      </c>
      <c r="R54" s="10">
        <f>K50/SUM(B50:K50)*100%</f>
        <v>0.30823401950162516</v>
      </c>
      <c r="S54" s="10"/>
    </row>
    <row r="55" spans="1:19" x14ac:dyDescent="0.35">
      <c r="A55" t="s">
        <v>24</v>
      </c>
      <c r="B55" s="4">
        <f>IF(B52-B53-B54&lt;0,0,B52-B53-B54)</f>
        <v>0</v>
      </c>
      <c r="C55" s="4">
        <f t="shared" ref="C55:K55" si="4">IF(C52-C53-C54&lt;0,0,C52-C53-C54)</f>
        <v>570.11</v>
      </c>
      <c r="D55" s="4">
        <f t="shared" si="4"/>
        <v>1097.9105199999997</v>
      </c>
      <c r="E55" s="4">
        <f t="shared" si="4"/>
        <v>1465.0445199999999</v>
      </c>
      <c r="F55" s="4">
        <f t="shared" si="4"/>
        <v>3091.554880000001</v>
      </c>
      <c r="G55" s="4">
        <f t="shared" si="4"/>
        <v>5945.8088800000005</v>
      </c>
      <c r="H55" s="4">
        <f t="shared" si="4"/>
        <v>9757.8100799999993</v>
      </c>
      <c r="I55" s="4">
        <f t="shared" si="4"/>
        <v>14561.96608</v>
      </c>
      <c r="J55" s="4">
        <f t="shared" si="4"/>
        <v>21817.22208</v>
      </c>
      <c r="K55" s="4">
        <f t="shared" si="4"/>
        <v>48007.3995</v>
      </c>
      <c r="M55" s="3">
        <f>($B$37/10)*SUM(B55:K55)</f>
        <v>110240554667.40279</v>
      </c>
      <c r="O55" t="s">
        <v>75</v>
      </c>
      <c r="R55" s="10">
        <f>SUM(B50:F50)/SUM(B50:K50)</f>
        <v>0.18878656554712892</v>
      </c>
      <c r="S55" s="10"/>
    </row>
    <row r="56" spans="1:19" x14ac:dyDescent="0.35">
      <c r="A56" t="s">
        <v>25</v>
      </c>
      <c r="B56" s="4">
        <f t="shared" ref="B56:K56" si="5">B50-B55</f>
        <v>2400</v>
      </c>
      <c r="C56" s="4">
        <f t="shared" si="5"/>
        <v>8929.89</v>
      </c>
      <c r="D56" s="4">
        <f t="shared" si="5"/>
        <v>13302.089480000001</v>
      </c>
      <c r="E56" s="4">
        <f t="shared" si="5"/>
        <v>17234.955480000001</v>
      </c>
      <c r="F56" s="4">
        <f t="shared" si="5"/>
        <v>21608.44512</v>
      </c>
      <c r="G56" s="4">
        <f t="shared" si="5"/>
        <v>25654.19112</v>
      </c>
      <c r="H56" s="4">
        <f t="shared" si="5"/>
        <v>30142.189920000001</v>
      </c>
      <c r="I56" s="4">
        <f t="shared" si="5"/>
        <v>35138.033920000002</v>
      </c>
      <c r="J56" s="4">
        <f t="shared" si="5"/>
        <v>42682.77792</v>
      </c>
      <c r="K56" s="4">
        <f t="shared" si="5"/>
        <v>65792.6005</v>
      </c>
    </row>
    <row r="57" spans="1:19" x14ac:dyDescent="0.35">
      <c r="A57" t="s">
        <v>65</v>
      </c>
      <c r="B57" s="4"/>
      <c r="C57" s="4">
        <f>C56</f>
        <v>8929.89</v>
      </c>
      <c r="D57" s="4">
        <f t="shared" ref="D57:I57" si="6">D56</f>
        <v>13302.089480000001</v>
      </c>
      <c r="E57" s="4">
        <f t="shared" si="6"/>
        <v>17234.955480000001</v>
      </c>
      <c r="F57" s="4">
        <f t="shared" si="6"/>
        <v>21608.44512</v>
      </c>
      <c r="G57" s="4">
        <f t="shared" si="6"/>
        <v>25654.19112</v>
      </c>
      <c r="H57" s="4">
        <f t="shared" si="6"/>
        <v>30142.189920000001</v>
      </c>
      <c r="I57" s="4">
        <f t="shared" si="6"/>
        <v>35138.033920000002</v>
      </c>
      <c r="J57" s="4"/>
      <c r="K57" s="4"/>
    </row>
    <row r="58" spans="1:19" x14ac:dyDescent="0.35">
      <c r="B58" s="3"/>
      <c r="C58" s="3"/>
      <c r="D58" s="3"/>
      <c r="E58" s="3"/>
      <c r="F58" s="3"/>
      <c r="G58" s="3"/>
      <c r="H58" s="3"/>
      <c r="I58" s="3"/>
      <c r="J58" s="3"/>
      <c r="K58" s="3"/>
    </row>
    <row r="59" spans="1:19" x14ac:dyDescent="0.35">
      <c r="A59" t="s">
        <v>30</v>
      </c>
      <c r="B59" s="3"/>
      <c r="C59" s="3"/>
      <c r="J59" s="3"/>
      <c r="K59" s="3"/>
    </row>
    <row r="60" spans="1:19" x14ac:dyDescent="0.35">
      <c r="A60" t="s">
        <v>120</v>
      </c>
      <c r="B60" s="3"/>
      <c r="C60" s="3"/>
      <c r="D60" s="4">
        <f t="shared" ref="D60:J60" si="7">D50</f>
        <v>14400</v>
      </c>
      <c r="E60" s="4">
        <f t="shared" si="7"/>
        <v>18700</v>
      </c>
      <c r="F60" s="4">
        <f t="shared" si="7"/>
        <v>24700</v>
      </c>
      <c r="G60" s="4">
        <f t="shared" si="7"/>
        <v>31600</v>
      </c>
      <c r="H60" s="4">
        <f t="shared" si="7"/>
        <v>39900</v>
      </c>
      <c r="I60" s="4">
        <f t="shared" si="7"/>
        <v>49700</v>
      </c>
      <c r="J60" s="4">
        <f t="shared" si="7"/>
        <v>64500</v>
      </c>
      <c r="K60" s="3"/>
    </row>
    <row r="61" spans="1:19" x14ac:dyDescent="0.35">
      <c r="A61" t="s">
        <v>31</v>
      </c>
      <c r="B61" s="3"/>
      <c r="C61" s="3"/>
      <c r="D61" s="4">
        <f t="shared" ref="D61:J61" si="8">IF(D60&lt;35376,19.45%*D60,IF(D60&lt;68507,6880+(D60-35376)*37.35%,6880+12374+(D60-68507)*49.5%))</f>
        <v>2800.8</v>
      </c>
      <c r="E61" s="4">
        <f t="shared" si="8"/>
        <v>3637.15</v>
      </c>
      <c r="F61" s="4">
        <f t="shared" si="8"/>
        <v>4804.1500000000005</v>
      </c>
      <c r="G61" s="4">
        <f t="shared" si="8"/>
        <v>6146.2</v>
      </c>
      <c r="H61" s="4">
        <f t="shared" si="8"/>
        <v>8569.7139999999999</v>
      </c>
      <c r="I61" s="4">
        <f t="shared" si="8"/>
        <v>12230.013999999999</v>
      </c>
      <c r="J61" s="4">
        <f t="shared" si="8"/>
        <v>17757.813999999998</v>
      </c>
      <c r="K61" s="3"/>
    </row>
    <row r="62" spans="1:19" x14ac:dyDescent="0.35">
      <c r="A62" t="s">
        <v>21</v>
      </c>
      <c r="B62" s="3"/>
      <c r="C62" s="3"/>
      <c r="D62" s="4">
        <f>IF(D60&lt;20711,1413,IF(D60&lt;68507,(1413-0.02954*(D60-20711)),0))</f>
        <v>1413</v>
      </c>
      <c r="E62" s="4">
        <f t="shared" ref="E62:J62" si="9">IF(E60&lt;20711,1413,IF(E60&lt;68507,(1413-0.02954*(E60-20711)),0))</f>
        <v>1413</v>
      </c>
      <c r="F62" s="4">
        <f t="shared" si="9"/>
        <v>1295.1649400000001</v>
      </c>
      <c r="G62" s="4">
        <f t="shared" si="9"/>
        <v>1091.3389400000001</v>
      </c>
      <c r="H62" s="4">
        <f t="shared" si="9"/>
        <v>846.15693999999996</v>
      </c>
      <c r="I62" s="4">
        <f t="shared" si="9"/>
        <v>556.66494</v>
      </c>
      <c r="J62" s="4">
        <f t="shared" si="9"/>
        <v>119.47293999999988</v>
      </c>
      <c r="K62" s="3"/>
    </row>
    <row r="63" spans="1:19" x14ac:dyDescent="0.35">
      <c r="A63" t="s">
        <v>35</v>
      </c>
      <c r="B63" s="3"/>
      <c r="C63" s="3"/>
      <c r="D63" s="4">
        <f>IF(D60&lt;37372,1622,IF(D60&lt;37372,1622-0.15*(D60-37372),0))</f>
        <v>1622</v>
      </c>
      <c r="E63" s="4">
        <f t="shared" ref="E63:J63" si="10">IF(E60&lt;37372,1622,IF(E60&lt;37372,1622-0.15*(E60-37372),0))</f>
        <v>1622</v>
      </c>
      <c r="F63" s="4">
        <f t="shared" si="10"/>
        <v>1622</v>
      </c>
      <c r="G63" s="4">
        <f t="shared" si="10"/>
        <v>1622</v>
      </c>
      <c r="H63" s="4">
        <f t="shared" si="10"/>
        <v>0</v>
      </c>
      <c r="I63" s="4">
        <f t="shared" si="10"/>
        <v>0</v>
      </c>
      <c r="J63" s="4">
        <f t="shared" si="10"/>
        <v>0</v>
      </c>
      <c r="K63" s="3"/>
    </row>
    <row r="64" spans="1:19" x14ac:dyDescent="0.35">
      <c r="A64" t="s">
        <v>24</v>
      </c>
      <c r="B64" s="3"/>
      <c r="C64" s="3"/>
      <c r="D64" s="4">
        <f t="shared" ref="D64:J64" si="11">IF(D61-D62-D63&lt;0,0,D61-D62-D63)</f>
        <v>0</v>
      </c>
      <c r="E64" s="4">
        <f t="shared" si="11"/>
        <v>602.15000000000009</v>
      </c>
      <c r="F64" s="4">
        <f t="shared" si="11"/>
        <v>1886.9850600000004</v>
      </c>
      <c r="G64" s="4">
        <f t="shared" si="11"/>
        <v>3432.8610599999993</v>
      </c>
      <c r="H64" s="4">
        <f t="shared" si="11"/>
        <v>7723.5570600000001</v>
      </c>
      <c r="I64" s="4">
        <f t="shared" si="11"/>
        <v>11673.349059999999</v>
      </c>
      <c r="J64" s="4">
        <f t="shared" si="11"/>
        <v>17638.341059999999</v>
      </c>
      <c r="K64" s="3"/>
      <c r="M64" s="3">
        <f>($B$36/7)*SUM(D64:J64)</f>
        <v>19153223335.19014</v>
      </c>
    </row>
    <row r="65" spans="1:13" x14ac:dyDescent="0.35">
      <c r="A65" t="s">
        <v>25</v>
      </c>
      <c r="B65" s="3"/>
      <c r="C65" s="3"/>
      <c r="D65" s="4">
        <f>D60-D64</f>
        <v>14400</v>
      </c>
      <c r="E65" s="4">
        <f t="shared" ref="E65:J65" si="12">E60-E64</f>
        <v>18097.849999999999</v>
      </c>
      <c r="F65" s="4">
        <f t="shared" si="12"/>
        <v>22813.014940000001</v>
      </c>
      <c r="G65" s="4">
        <f t="shared" si="12"/>
        <v>28167.138940000001</v>
      </c>
      <c r="H65" s="4">
        <f t="shared" si="12"/>
        <v>32176.442940000001</v>
      </c>
      <c r="I65" s="4">
        <f t="shared" si="12"/>
        <v>38026.65094</v>
      </c>
      <c r="J65" s="4">
        <f t="shared" si="12"/>
        <v>46861.658940000001</v>
      </c>
      <c r="K65" s="3"/>
      <c r="M65" s="3"/>
    </row>
    <row r="66" spans="1:13" x14ac:dyDescent="0.35">
      <c r="B66" s="3"/>
      <c r="C66" s="3"/>
      <c r="D66" s="4"/>
      <c r="E66" s="4"/>
      <c r="F66" s="4"/>
      <c r="G66" s="4"/>
      <c r="H66" s="4"/>
      <c r="I66" s="4"/>
      <c r="J66" s="3"/>
      <c r="K66" s="3"/>
    </row>
    <row r="67" spans="1:13" x14ac:dyDescent="0.35">
      <c r="A67" t="s">
        <v>32</v>
      </c>
      <c r="B67" s="3"/>
      <c r="C67" s="3"/>
      <c r="D67" s="4"/>
      <c r="E67" s="4"/>
      <c r="F67" s="4"/>
      <c r="G67" s="4"/>
      <c r="H67" s="4"/>
      <c r="I67" s="4"/>
      <c r="J67" s="3"/>
      <c r="K67" s="3"/>
      <c r="M67" s="13">
        <f>SUM(M55:M65)</f>
        <v>129393778002.59293</v>
      </c>
    </row>
    <row r="68" spans="1:13" x14ac:dyDescent="0.35">
      <c r="B68" s="3"/>
      <c r="C68" s="3"/>
      <c r="D68" s="4"/>
      <c r="E68" s="4"/>
      <c r="F68" s="4"/>
      <c r="G68" s="4"/>
      <c r="H68" s="4"/>
      <c r="I68" s="4"/>
      <c r="J68" s="3"/>
      <c r="K68" s="3"/>
      <c r="M68" s="3"/>
    </row>
    <row r="69" spans="1:13" x14ac:dyDescent="0.35">
      <c r="A69" t="s">
        <v>109</v>
      </c>
      <c r="B69" s="23">
        <f t="shared" ref="B69:K69" si="13">B55/B50</f>
        <v>0</v>
      </c>
      <c r="C69" s="23">
        <f t="shared" si="13"/>
        <v>6.0011578947368423E-2</v>
      </c>
      <c r="D69" s="23">
        <f t="shared" si="13"/>
        <v>7.6243786111111087E-2</v>
      </c>
      <c r="E69" s="23">
        <f t="shared" si="13"/>
        <v>7.834462673796791E-2</v>
      </c>
      <c r="F69" s="23">
        <f t="shared" si="13"/>
        <v>0.12516416518218629</v>
      </c>
      <c r="G69" s="23">
        <f t="shared" si="13"/>
        <v>0.18815850886075952</v>
      </c>
      <c r="H69" s="23">
        <f t="shared" si="13"/>
        <v>0.24455664360902254</v>
      </c>
      <c r="I69" s="23">
        <f t="shared" si="13"/>
        <v>0.29299730543259556</v>
      </c>
      <c r="J69" s="23">
        <f t="shared" si="13"/>
        <v>0.33825150511627905</v>
      </c>
      <c r="K69" s="23">
        <f t="shared" si="13"/>
        <v>0.42185764059753955</v>
      </c>
      <c r="M69" s="3"/>
    </row>
    <row r="70" spans="1:13" x14ac:dyDescent="0.35">
      <c r="B70" s="3"/>
      <c r="C70" s="3"/>
      <c r="D70" s="3"/>
      <c r="E70" s="3"/>
      <c r="F70" s="3"/>
      <c r="G70" s="3"/>
      <c r="H70" s="3"/>
      <c r="I70" s="3"/>
      <c r="J70" s="3"/>
      <c r="K70" s="3"/>
    </row>
    <row r="71" spans="1:13" ht="18.5" x14ac:dyDescent="0.45">
      <c r="A71" s="5" t="s">
        <v>184</v>
      </c>
    </row>
    <row r="72" spans="1:13" ht="18.5" x14ac:dyDescent="0.45">
      <c r="A72" s="5" t="s">
        <v>22</v>
      </c>
    </row>
    <row r="73" spans="1:13" x14ac:dyDescent="0.35">
      <c r="A73" t="str">
        <f t="shared" ref="A73:K73" si="14">A48</f>
        <v>Deciel</v>
      </c>
      <c r="B73" s="4">
        <f t="shared" si="14"/>
        <v>1</v>
      </c>
      <c r="C73" s="4">
        <f t="shared" si="14"/>
        <v>2</v>
      </c>
      <c r="D73" s="4">
        <f t="shared" si="14"/>
        <v>3</v>
      </c>
      <c r="E73" s="4">
        <f t="shared" si="14"/>
        <v>4</v>
      </c>
      <c r="F73" s="4">
        <f t="shared" si="14"/>
        <v>5</v>
      </c>
      <c r="G73" s="4">
        <f t="shared" si="14"/>
        <v>6</v>
      </c>
      <c r="H73" s="4">
        <f t="shared" si="14"/>
        <v>7</v>
      </c>
      <c r="I73" s="4">
        <f t="shared" si="14"/>
        <v>8</v>
      </c>
      <c r="J73" s="4">
        <f t="shared" si="14"/>
        <v>9</v>
      </c>
      <c r="K73" s="4">
        <f t="shared" si="14"/>
        <v>10</v>
      </c>
    </row>
    <row r="74" spans="1:13" x14ac:dyDescent="0.35">
      <c r="B74" s="4"/>
      <c r="C74" s="4"/>
      <c r="D74" s="4"/>
      <c r="E74" s="4"/>
      <c r="F74" s="4"/>
      <c r="G74" s="4"/>
      <c r="H74" s="4"/>
      <c r="I74" s="4"/>
      <c r="J74" s="4"/>
      <c r="K74" s="4"/>
    </row>
    <row r="75" spans="1:13" x14ac:dyDescent="0.35">
      <c r="A75" t="str">
        <f t="shared" ref="A75:K75" si="15">A50</f>
        <v>Persoonlijk bruto inkomen (CBS, 2018)</v>
      </c>
      <c r="B75" s="4">
        <f t="shared" si="15"/>
        <v>2400</v>
      </c>
      <c r="C75" s="4">
        <f t="shared" si="15"/>
        <v>9500</v>
      </c>
      <c r="D75" s="4">
        <f t="shared" si="15"/>
        <v>14400</v>
      </c>
      <c r="E75" s="4">
        <f t="shared" si="15"/>
        <v>18700</v>
      </c>
      <c r="F75" s="4">
        <f t="shared" si="15"/>
        <v>24700</v>
      </c>
      <c r="G75" s="4">
        <f t="shared" si="15"/>
        <v>31600</v>
      </c>
      <c r="H75" s="4">
        <f t="shared" si="15"/>
        <v>39900</v>
      </c>
      <c r="I75" s="4">
        <f t="shared" si="15"/>
        <v>49700</v>
      </c>
      <c r="J75" s="4">
        <f t="shared" si="15"/>
        <v>64500</v>
      </c>
      <c r="K75" s="4">
        <f t="shared" si="15"/>
        <v>113800</v>
      </c>
    </row>
    <row r="76" spans="1:13" x14ac:dyDescent="0.35">
      <c r="A76" t="s">
        <v>181</v>
      </c>
      <c r="B76" s="4">
        <f t="shared" ref="B76:K76" si="16">B75+B41</f>
        <v>3900</v>
      </c>
      <c r="C76" s="4">
        <f t="shared" si="16"/>
        <v>18042.666666666668</v>
      </c>
      <c r="D76" s="4">
        <f t="shared" si="16"/>
        <v>24344</v>
      </c>
      <c r="E76" s="4">
        <f t="shared" si="16"/>
        <v>28328.666666666664</v>
      </c>
      <c r="F76" s="4">
        <f t="shared" si="16"/>
        <v>33888.666666666664</v>
      </c>
      <c r="G76" s="4">
        <f t="shared" si="16"/>
        <v>40282.666666666664</v>
      </c>
      <c r="H76" s="4">
        <f t="shared" si="16"/>
        <v>47974</v>
      </c>
      <c r="I76" s="4">
        <f t="shared" si="16"/>
        <v>57055.333333333336</v>
      </c>
      <c r="J76" s="4">
        <f t="shared" si="16"/>
        <v>70770</v>
      </c>
      <c r="K76" s="4">
        <f t="shared" si="16"/>
        <v>116454.66666666667</v>
      </c>
    </row>
    <row r="77" spans="1:13" x14ac:dyDescent="0.35">
      <c r="A77" t="str">
        <f t="shared" ref="A77:A82" si="17">A51</f>
        <v>WERKENDEN</v>
      </c>
      <c r="B77" s="4"/>
      <c r="C77" s="4"/>
      <c r="D77" s="4"/>
      <c r="E77" s="4"/>
      <c r="F77" s="4"/>
      <c r="G77" s="4"/>
      <c r="H77" s="4"/>
      <c r="I77" s="4"/>
      <c r="J77" s="4"/>
      <c r="K77" s="4"/>
    </row>
    <row r="78" spans="1:13" x14ac:dyDescent="0.35">
      <c r="A78" t="str">
        <f t="shared" si="17"/>
        <v>IB werkenden (37,35%&lt;68507&lt;49,5%0</v>
      </c>
      <c r="B78" s="4">
        <f>IF(B76&lt;68507,37.35%*B76,(37.35%*68507+(B76-68507)*49.5%))</f>
        <v>1456.65</v>
      </c>
      <c r="C78" s="4">
        <f t="shared" ref="C78:K78" si="18">IF(C76&lt;68507,37.35%*C76,(37.35%*68507+(C76-68507)*49.5%))</f>
        <v>6738.9360000000006</v>
      </c>
      <c r="D78" s="4">
        <f t="shared" si="18"/>
        <v>9092.4840000000004</v>
      </c>
      <c r="E78" s="4">
        <f t="shared" si="18"/>
        <v>10580.757</v>
      </c>
      <c r="F78" s="4">
        <f t="shared" si="18"/>
        <v>12657.416999999999</v>
      </c>
      <c r="G78" s="4">
        <f t="shared" si="18"/>
        <v>15045.575999999999</v>
      </c>
      <c r="H78" s="4">
        <f t="shared" si="18"/>
        <v>17918.289000000001</v>
      </c>
      <c r="I78" s="4">
        <f t="shared" si="18"/>
        <v>21310.167000000001</v>
      </c>
      <c r="J78" s="4">
        <f t="shared" si="18"/>
        <v>26707.549500000001</v>
      </c>
      <c r="K78" s="4">
        <f t="shared" si="18"/>
        <v>49321.459499999997</v>
      </c>
    </row>
    <row r="79" spans="1:13" x14ac:dyDescent="0.35">
      <c r="A79" t="str">
        <f t="shared" si="17"/>
        <v>Algemene Heffingskorting</v>
      </c>
      <c r="B79" s="4">
        <f t="shared" ref="B79:K79" si="19">IF(B76&lt;20711,2711,IF(B76&lt;68507,(2711-0.05672*(B76-20711)),0))</f>
        <v>2711</v>
      </c>
      <c r="C79" s="4">
        <f t="shared" si="19"/>
        <v>2711</v>
      </c>
      <c r="D79" s="4">
        <f t="shared" si="19"/>
        <v>2504.93624</v>
      </c>
      <c r="E79" s="4">
        <f t="shared" si="19"/>
        <v>2278.9259466666667</v>
      </c>
      <c r="F79" s="4">
        <f t="shared" si="19"/>
        <v>1963.562746666667</v>
      </c>
      <c r="G79" s="4">
        <f t="shared" si="19"/>
        <v>1600.8950666666667</v>
      </c>
      <c r="H79" s="4">
        <f t="shared" si="19"/>
        <v>1164.64264</v>
      </c>
      <c r="I79" s="4">
        <f t="shared" si="19"/>
        <v>649.54941333333318</v>
      </c>
      <c r="J79" s="4">
        <f t="shared" si="19"/>
        <v>0</v>
      </c>
      <c r="K79" s="4">
        <f t="shared" si="19"/>
        <v>0</v>
      </c>
    </row>
    <row r="80" spans="1:13" x14ac:dyDescent="0.35">
      <c r="A80" t="str">
        <f t="shared" si="17"/>
        <v>Arbeidskorting</v>
      </c>
      <c r="B80" s="4">
        <f t="shared" ref="B80:K80" si="20">IF(B76&lt;9921,0.02812*B76,IF(B76&lt;21430,279+0.28812*(B76-9921),IF(B76&lt;34954,3595+0.01656*(B76-21430),IF(B76&lt;98604,3819-0.06*(B76-34954),0))))</f>
        <v>109.66799999999999</v>
      </c>
      <c r="C80" s="4">
        <f t="shared" si="20"/>
        <v>2619.0146000000004</v>
      </c>
      <c r="D80" s="4">
        <f t="shared" si="20"/>
        <v>3643.2558399999998</v>
      </c>
      <c r="E80" s="4">
        <f t="shared" si="20"/>
        <v>3709.2419199999999</v>
      </c>
      <c r="F80" s="4">
        <f t="shared" si="20"/>
        <v>3801.3155200000001</v>
      </c>
      <c r="G80" s="4">
        <f t="shared" si="20"/>
        <v>3499.28</v>
      </c>
      <c r="H80" s="4">
        <f t="shared" si="20"/>
        <v>3037.8</v>
      </c>
      <c r="I80" s="4">
        <f t="shared" si="20"/>
        <v>2492.92</v>
      </c>
      <c r="J80" s="4">
        <f t="shared" si="20"/>
        <v>1670.04</v>
      </c>
      <c r="K80" s="4">
        <f t="shared" si="20"/>
        <v>0</v>
      </c>
    </row>
    <row r="81" spans="1:27" x14ac:dyDescent="0.35">
      <c r="A81" t="str">
        <f t="shared" si="17"/>
        <v>Netto Belasting</v>
      </c>
      <c r="B81" s="4">
        <v>0</v>
      </c>
      <c r="C81" s="4">
        <f t="shared" ref="C81:K81" si="21">C78-C79-C80</f>
        <v>1408.9214000000002</v>
      </c>
      <c r="D81" s="4">
        <f t="shared" si="21"/>
        <v>2944.2919200000006</v>
      </c>
      <c r="E81" s="4">
        <f t="shared" si="21"/>
        <v>4592.5891333333329</v>
      </c>
      <c r="F81" s="4">
        <f t="shared" si="21"/>
        <v>6892.5387333333329</v>
      </c>
      <c r="G81" s="4">
        <f t="shared" si="21"/>
        <v>9945.4009333333324</v>
      </c>
      <c r="H81" s="4">
        <f t="shared" si="21"/>
        <v>13715.84636</v>
      </c>
      <c r="I81" s="4">
        <f t="shared" si="21"/>
        <v>18167.697586666669</v>
      </c>
      <c r="J81" s="4">
        <f t="shared" si="21"/>
        <v>25037.5095</v>
      </c>
      <c r="K81" s="4">
        <f t="shared" si="21"/>
        <v>49321.459499999997</v>
      </c>
      <c r="M81" s="3">
        <f>($B$37/10)*SUM(B81:K81)</f>
        <v>136901390548.13086</v>
      </c>
    </row>
    <row r="82" spans="1:27" x14ac:dyDescent="0.35">
      <c r="A82" t="str">
        <f t="shared" si="17"/>
        <v>Besteedbaar inkomen</v>
      </c>
      <c r="B82" s="4">
        <f>B76-B81</f>
        <v>3900</v>
      </c>
      <c r="C82" s="4">
        <f t="shared" ref="C82:K82" si="22">C76-C81</f>
        <v>16633.745266666669</v>
      </c>
      <c r="D82" s="4">
        <f t="shared" si="22"/>
        <v>21399.70808</v>
      </c>
      <c r="E82" s="4">
        <f t="shared" si="22"/>
        <v>23736.077533333329</v>
      </c>
      <c r="F82" s="4">
        <f t="shared" si="22"/>
        <v>26996.12793333333</v>
      </c>
      <c r="G82" s="4">
        <f t="shared" si="22"/>
        <v>30337.265733333334</v>
      </c>
      <c r="H82" s="4">
        <f t="shared" si="22"/>
        <v>34258.153640000004</v>
      </c>
      <c r="I82" s="4">
        <f t="shared" si="22"/>
        <v>38887.635746666667</v>
      </c>
      <c r="J82" s="4">
        <f t="shared" si="22"/>
        <v>45732.4905</v>
      </c>
      <c r="K82" s="4">
        <f t="shared" si="22"/>
        <v>67133.207166666674</v>
      </c>
    </row>
    <row r="84" spans="1:27" x14ac:dyDescent="0.35">
      <c r="A84" t="s">
        <v>30</v>
      </c>
    </row>
    <row r="85" spans="1:27" x14ac:dyDescent="0.35">
      <c r="A85" t="s">
        <v>16</v>
      </c>
      <c r="D85" s="4">
        <f>D76</f>
        <v>24344</v>
      </c>
      <c r="E85" s="4">
        <f t="shared" ref="E85:J85" si="23">E76</f>
        <v>28328.666666666664</v>
      </c>
      <c r="F85" s="4">
        <f t="shared" si="23"/>
        <v>33888.666666666664</v>
      </c>
      <c r="G85" s="4">
        <f t="shared" si="23"/>
        <v>40282.666666666664</v>
      </c>
      <c r="H85" s="4">
        <f t="shared" si="23"/>
        <v>47974</v>
      </c>
      <c r="I85" s="4">
        <f t="shared" si="23"/>
        <v>57055.333333333336</v>
      </c>
      <c r="J85" s="4">
        <f t="shared" si="23"/>
        <v>70770</v>
      </c>
      <c r="K85" s="4"/>
      <c r="Q85" t="s">
        <v>78</v>
      </c>
    </row>
    <row r="86" spans="1:27" x14ac:dyDescent="0.35">
      <c r="A86" t="s">
        <v>31</v>
      </c>
      <c r="D86" s="4">
        <f>IF(D85&lt;35376,19.45%*D85,IF(D85&lt;68507,6880+(D85-35376)*37.35%,6880+12374+(D85-68507)*49.5%))</f>
        <v>4734.9080000000004</v>
      </c>
      <c r="E86" s="4">
        <f t="shared" ref="E86:J86" si="24">IF(E85&lt;35376,19.45%*E85,IF(E85&lt;68507,6880+(E85-35376)*37.35%,6880+12374+(E85-68507)*49.5%))</f>
        <v>5509.9256666666661</v>
      </c>
      <c r="F86" s="4">
        <f t="shared" si="24"/>
        <v>6591.3456666666661</v>
      </c>
      <c r="G86" s="4">
        <f t="shared" si="24"/>
        <v>8712.64</v>
      </c>
      <c r="H86" s="4">
        <f t="shared" si="24"/>
        <v>11585.352999999999</v>
      </c>
      <c r="I86" s="4">
        <f t="shared" si="24"/>
        <v>14977.231</v>
      </c>
      <c r="J86" s="4">
        <f t="shared" si="24"/>
        <v>20374.185000000001</v>
      </c>
      <c r="K86" s="4"/>
      <c r="Q86" t="s">
        <v>19</v>
      </c>
      <c r="R86">
        <f t="shared" ref="R86:AA86" si="25">B48</f>
        <v>1</v>
      </c>
      <c r="S86">
        <f t="shared" si="25"/>
        <v>2</v>
      </c>
      <c r="T86">
        <f t="shared" si="25"/>
        <v>3</v>
      </c>
      <c r="U86">
        <f t="shared" si="25"/>
        <v>4</v>
      </c>
      <c r="V86">
        <f t="shared" si="25"/>
        <v>5</v>
      </c>
      <c r="W86">
        <f t="shared" si="25"/>
        <v>6</v>
      </c>
      <c r="X86">
        <f t="shared" si="25"/>
        <v>7</v>
      </c>
      <c r="Y86">
        <f t="shared" si="25"/>
        <v>8</v>
      </c>
      <c r="Z86">
        <f t="shared" si="25"/>
        <v>9</v>
      </c>
      <c r="AA86">
        <f t="shared" si="25"/>
        <v>10</v>
      </c>
    </row>
    <row r="87" spans="1:27" x14ac:dyDescent="0.35">
      <c r="A87" t="s">
        <v>21</v>
      </c>
      <c r="D87" s="4">
        <f t="shared" ref="D87:J87" si="26">IF(D85&lt;20711,1413,IF(D85&lt;68507,(1413-0.02954*(D85-20711)),0))</f>
        <v>1305.68118</v>
      </c>
      <c r="E87" s="4">
        <f t="shared" si="26"/>
        <v>1187.9741266666667</v>
      </c>
      <c r="F87" s="4">
        <f t="shared" si="26"/>
        <v>1023.7317266666668</v>
      </c>
      <c r="G87" s="4">
        <f t="shared" si="26"/>
        <v>834.8529666666667</v>
      </c>
      <c r="H87" s="4">
        <f t="shared" si="26"/>
        <v>607.65098</v>
      </c>
      <c r="I87" s="4">
        <f t="shared" si="26"/>
        <v>339.38839333333317</v>
      </c>
      <c r="J87" s="4">
        <f t="shared" si="26"/>
        <v>0</v>
      </c>
      <c r="Q87" s="26" t="s">
        <v>79</v>
      </c>
      <c r="R87" s="14"/>
      <c r="S87" s="14"/>
      <c r="T87" s="14"/>
      <c r="U87" s="14"/>
      <c r="V87" s="14"/>
      <c r="W87" s="14"/>
      <c r="X87" s="14"/>
      <c r="Y87" s="14"/>
      <c r="Z87" s="14"/>
      <c r="AA87" s="14"/>
    </row>
    <row r="88" spans="1:27" x14ac:dyDescent="0.35">
      <c r="A88" t="s">
        <v>35</v>
      </c>
      <c r="D88">
        <f t="shared" ref="D88:J88" si="27">IF(D85&lt;37372,1622,IF(D85&lt;37372,1622-0.15*(D85-37372),0))</f>
        <v>1622</v>
      </c>
      <c r="E88">
        <f t="shared" si="27"/>
        <v>1622</v>
      </c>
      <c r="F88">
        <f t="shared" si="27"/>
        <v>1622</v>
      </c>
      <c r="G88">
        <f t="shared" si="27"/>
        <v>0</v>
      </c>
      <c r="H88">
        <f t="shared" si="27"/>
        <v>0</v>
      </c>
      <c r="I88">
        <f t="shared" si="27"/>
        <v>0</v>
      </c>
      <c r="J88">
        <f t="shared" si="27"/>
        <v>0</v>
      </c>
      <c r="Q88" s="14" t="s">
        <v>119</v>
      </c>
      <c r="R88" s="27">
        <f t="shared" ref="R88:AA88" si="28">B50</f>
        <v>2400</v>
      </c>
      <c r="S88" s="27">
        <f t="shared" si="28"/>
        <v>9500</v>
      </c>
      <c r="T88" s="27">
        <f t="shared" si="28"/>
        <v>14400</v>
      </c>
      <c r="U88" s="27">
        <f t="shared" si="28"/>
        <v>18700</v>
      </c>
      <c r="V88" s="27">
        <f t="shared" si="28"/>
        <v>24700</v>
      </c>
      <c r="W88" s="27">
        <f t="shared" si="28"/>
        <v>31600</v>
      </c>
      <c r="X88" s="27">
        <f t="shared" si="28"/>
        <v>39900</v>
      </c>
      <c r="Y88" s="27">
        <f t="shared" si="28"/>
        <v>49700</v>
      </c>
      <c r="Z88" s="27">
        <f t="shared" si="28"/>
        <v>64500</v>
      </c>
      <c r="AA88" s="27">
        <f t="shared" si="28"/>
        <v>113800</v>
      </c>
    </row>
    <row r="89" spans="1:27" x14ac:dyDescent="0.35">
      <c r="A89" t="s">
        <v>24</v>
      </c>
      <c r="D89" s="4">
        <f t="shared" ref="D89:J89" si="29">IF(D86-D87-D88&lt;0,0,D86-D87-D88)</f>
        <v>1807.2268200000003</v>
      </c>
      <c r="E89" s="4">
        <f t="shared" si="29"/>
        <v>2699.9515399999991</v>
      </c>
      <c r="F89" s="4">
        <f t="shared" si="29"/>
        <v>3945.6139399999993</v>
      </c>
      <c r="G89" s="4">
        <f t="shared" si="29"/>
        <v>7877.7870333333331</v>
      </c>
      <c r="H89" s="4">
        <f t="shared" si="29"/>
        <v>10977.702019999999</v>
      </c>
      <c r="I89" s="4">
        <f t="shared" si="29"/>
        <v>14637.842606666667</v>
      </c>
      <c r="J89" s="4">
        <f t="shared" si="29"/>
        <v>20374.185000000001</v>
      </c>
      <c r="M89" s="3">
        <f>($B$36/7)*SUM(D89:J89)</f>
        <v>27786578097.969597</v>
      </c>
      <c r="Q89" s="14" t="s">
        <v>82</v>
      </c>
      <c r="R89" s="27">
        <f t="shared" ref="R89:AA89" si="30">B56</f>
        <v>2400</v>
      </c>
      <c r="S89" s="27">
        <f t="shared" si="30"/>
        <v>8929.89</v>
      </c>
      <c r="T89" s="27">
        <f t="shared" si="30"/>
        <v>13302.089480000001</v>
      </c>
      <c r="U89" s="27">
        <f t="shared" si="30"/>
        <v>17234.955480000001</v>
      </c>
      <c r="V89" s="27">
        <f t="shared" si="30"/>
        <v>21608.44512</v>
      </c>
      <c r="W89" s="27">
        <f t="shared" si="30"/>
        <v>25654.19112</v>
      </c>
      <c r="X89" s="27">
        <f t="shared" si="30"/>
        <v>30142.189920000001</v>
      </c>
      <c r="Y89" s="27">
        <f t="shared" si="30"/>
        <v>35138.033920000002</v>
      </c>
      <c r="Z89" s="27">
        <f t="shared" si="30"/>
        <v>42682.77792</v>
      </c>
      <c r="AA89" s="27">
        <f t="shared" si="30"/>
        <v>65792.6005</v>
      </c>
    </row>
    <row r="90" spans="1:27" x14ac:dyDescent="0.35">
      <c r="A90" t="s">
        <v>25</v>
      </c>
      <c r="D90" s="4">
        <f>D85-D89</f>
        <v>22536.77318</v>
      </c>
      <c r="E90" s="4">
        <f t="shared" ref="E90:J90" si="31">E85-E89</f>
        <v>25628.715126666666</v>
      </c>
      <c r="F90" s="4">
        <f t="shared" si="31"/>
        <v>29943.052726666665</v>
      </c>
      <c r="G90" s="4">
        <f t="shared" si="31"/>
        <v>32404.87963333333</v>
      </c>
      <c r="H90" s="4">
        <f t="shared" si="31"/>
        <v>36996.297980000003</v>
      </c>
      <c r="I90" s="4">
        <f t="shared" si="31"/>
        <v>42417.490726666671</v>
      </c>
      <c r="J90" s="4">
        <f t="shared" si="31"/>
        <v>50395.815000000002</v>
      </c>
      <c r="Q90" s="14" t="s">
        <v>80</v>
      </c>
      <c r="R90" s="14"/>
      <c r="S90" s="14"/>
      <c r="T90" s="27">
        <f t="shared" ref="T90:Z90" si="32">D65</f>
        <v>14400</v>
      </c>
      <c r="U90" s="27">
        <f t="shared" si="32"/>
        <v>18097.849999999999</v>
      </c>
      <c r="V90" s="27">
        <f t="shared" si="32"/>
        <v>22813.014940000001</v>
      </c>
      <c r="W90" s="27">
        <f t="shared" si="32"/>
        <v>28167.138940000001</v>
      </c>
      <c r="X90" s="27">
        <f t="shared" si="32"/>
        <v>32176.442940000001</v>
      </c>
      <c r="Y90" s="27">
        <f t="shared" si="32"/>
        <v>38026.65094</v>
      </c>
      <c r="Z90" s="27">
        <f t="shared" si="32"/>
        <v>46861.658940000001</v>
      </c>
      <c r="AA90" s="14"/>
    </row>
    <row r="91" spans="1:27" x14ac:dyDescent="0.35">
      <c r="Q91" s="33" t="s">
        <v>81</v>
      </c>
      <c r="R91" s="33"/>
      <c r="S91" s="33"/>
      <c r="T91" s="33"/>
      <c r="U91" s="33"/>
      <c r="V91" s="33"/>
      <c r="W91" s="33"/>
      <c r="X91" s="33"/>
      <c r="Y91" s="33"/>
      <c r="Z91" s="33"/>
      <c r="AA91" s="33"/>
    </row>
    <row r="92" spans="1:27" x14ac:dyDescent="0.35">
      <c r="A92" t="s">
        <v>32</v>
      </c>
      <c r="M92" s="13">
        <f>SUM(M81:M90)</f>
        <v>164687968646.10046</v>
      </c>
      <c r="Q92" s="34" t="s">
        <v>119</v>
      </c>
      <c r="R92" s="35">
        <f>B116</f>
        <v>3900</v>
      </c>
      <c r="S92" s="35">
        <f t="shared" ref="S92:AA92" si="33">C116</f>
        <v>18042.666666666668</v>
      </c>
      <c r="T92" s="35">
        <f t="shared" si="33"/>
        <v>24344</v>
      </c>
      <c r="U92" s="35">
        <f t="shared" si="33"/>
        <v>28328.666666666664</v>
      </c>
      <c r="V92" s="35">
        <f t="shared" si="33"/>
        <v>33888.666666666664</v>
      </c>
      <c r="W92" s="35">
        <f t="shared" si="33"/>
        <v>40282.666666666664</v>
      </c>
      <c r="X92" s="35">
        <f t="shared" si="33"/>
        <v>47974</v>
      </c>
      <c r="Y92" s="35">
        <f t="shared" si="33"/>
        <v>57055.333333333336</v>
      </c>
      <c r="Z92" s="35">
        <f t="shared" si="33"/>
        <v>70770</v>
      </c>
      <c r="AA92" s="35">
        <f t="shared" si="33"/>
        <v>116454.66666666667</v>
      </c>
    </row>
    <row r="93" spans="1:27" x14ac:dyDescent="0.35">
      <c r="A93" s="6" t="s">
        <v>36</v>
      </c>
      <c r="M93" s="22">
        <f>M92-M67</f>
        <v>35294190643.507538</v>
      </c>
      <c r="Q93" s="34" t="str">
        <f>Q89</f>
        <v>Besteedbaar inkomen werkenden</v>
      </c>
      <c r="R93" s="35">
        <f>B82</f>
        <v>3900</v>
      </c>
      <c r="S93" s="35">
        <f t="shared" ref="S93:AA93" si="34">C82</f>
        <v>16633.745266666669</v>
      </c>
      <c r="T93" s="35">
        <f t="shared" si="34"/>
        <v>21399.70808</v>
      </c>
      <c r="U93" s="35">
        <f t="shared" si="34"/>
        <v>23736.077533333329</v>
      </c>
      <c r="V93" s="35">
        <f t="shared" si="34"/>
        <v>26996.12793333333</v>
      </c>
      <c r="W93" s="35">
        <f t="shared" si="34"/>
        <v>30337.265733333334</v>
      </c>
      <c r="X93" s="35">
        <f t="shared" si="34"/>
        <v>34258.153640000004</v>
      </c>
      <c r="Y93" s="35">
        <f t="shared" si="34"/>
        <v>38887.635746666667</v>
      </c>
      <c r="Z93" s="35">
        <f t="shared" si="34"/>
        <v>45732.4905</v>
      </c>
      <c r="AA93" s="35">
        <f t="shared" si="34"/>
        <v>67133.207166666674</v>
      </c>
    </row>
    <row r="94" spans="1:27" x14ac:dyDescent="0.35">
      <c r="Q94" s="34" t="str">
        <f>Q90</f>
        <v>Besteedbaar inkomen gepensioneerden</v>
      </c>
      <c r="R94" s="34"/>
      <c r="S94" s="34"/>
      <c r="T94" s="35">
        <f t="shared" ref="T94:Z94" si="35">D90</f>
        <v>22536.77318</v>
      </c>
      <c r="U94" s="35">
        <f t="shared" si="35"/>
        <v>25628.715126666666</v>
      </c>
      <c r="V94" s="35">
        <f t="shared" si="35"/>
        <v>29943.052726666665</v>
      </c>
      <c r="W94" s="35">
        <f t="shared" si="35"/>
        <v>32404.87963333333</v>
      </c>
      <c r="X94" s="35">
        <f t="shared" si="35"/>
        <v>36996.297980000003</v>
      </c>
      <c r="Y94" s="35">
        <f t="shared" si="35"/>
        <v>42417.490726666671</v>
      </c>
      <c r="Z94" s="35">
        <f t="shared" si="35"/>
        <v>50395.815000000002</v>
      </c>
      <c r="AA94" s="34"/>
    </row>
    <row r="95" spans="1:27" x14ac:dyDescent="0.35">
      <c r="A95" t="s">
        <v>180</v>
      </c>
    </row>
    <row r="96" spans="1:27" x14ac:dyDescent="0.35">
      <c r="A96" t="s">
        <v>38</v>
      </c>
      <c r="B96" s="4">
        <f t="shared" ref="B96:K96" si="36">B82-B56</f>
        <v>1500</v>
      </c>
      <c r="C96" s="4">
        <f t="shared" si="36"/>
        <v>7703.8552666666692</v>
      </c>
      <c r="D96" s="4">
        <f t="shared" si="36"/>
        <v>8097.6185999999998</v>
      </c>
      <c r="E96" s="4">
        <f t="shared" si="36"/>
        <v>6501.1220533333289</v>
      </c>
      <c r="F96" s="4">
        <f t="shared" si="36"/>
        <v>5387.6828133333292</v>
      </c>
      <c r="G96" s="4">
        <f t="shared" si="36"/>
        <v>4683.0746133333341</v>
      </c>
      <c r="H96" s="4">
        <f t="shared" si="36"/>
        <v>4115.9637200000034</v>
      </c>
      <c r="I96" s="4">
        <f t="shared" si="36"/>
        <v>3749.6018266666651</v>
      </c>
      <c r="J96" s="4">
        <f t="shared" si="36"/>
        <v>3049.7125799999994</v>
      </c>
      <c r="K96" s="4">
        <f t="shared" si="36"/>
        <v>1340.6066666666738</v>
      </c>
    </row>
    <row r="97" spans="1:27" x14ac:dyDescent="0.35">
      <c r="A97" t="s">
        <v>39</v>
      </c>
      <c r="D97" s="4">
        <f t="shared" ref="D97:I97" si="37">D90-D65</f>
        <v>8136.7731800000001</v>
      </c>
      <c r="E97" s="4">
        <f t="shared" si="37"/>
        <v>7530.8651266666675</v>
      </c>
      <c r="F97" s="4">
        <f t="shared" si="37"/>
        <v>7130.037786666664</v>
      </c>
      <c r="G97" s="4">
        <f t="shared" si="37"/>
        <v>4237.7406933333295</v>
      </c>
      <c r="H97" s="4">
        <f t="shared" si="37"/>
        <v>4819.8550400000022</v>
      </c>
      <c r="I97" s="4">
        <f t="shared" si="37"/>
        <v>4390.839786666671</v>
      </c>
      <c r="J97" s="4"/>
      <c r="K97" s="4"/>
    </row>
    <row r="99" spans="1:27" x14ac:dyDescent="0.35">
      <c r="A99" t="s">
        <v>40</v>
      </c>
    </row>
    <row r="100" spans="1:27" x14ac:dyDescent="0.35">
      <c r="A100" t="s">
        <v>38</v>
      </c>
      <c r="B100" s="4">
        <f t="shared" ref="B100:K100" si="38">B81-B55</f>
        <v>0</v>
      </c>
      <c r="C100" s="4">
        <f t="shared" si="38"/>
        <v>838.81140000000016</v>
      </c>
      <c r="D100" s="4">
        <f t="shared" si="38"/>
        <v>1846.3814000000009</v>
      </c>
      <c r="E100" s="4">
        <f t="shared" si="38"/>
        <v>3127.544613333333</v>
      </c>
      <c r="F100" s="4">
        <f t="shared" si="38"/>
        <v>3800.9838533333318</v>
      </c>
      <c r="G100" s="4">
        <f t="shared" si="38"/>
        <v>3999.5920533333319</v>
      </c>
      <c r="H100" s="4">
        <f t="shared" si="38"/>
        <v>3958.0362800000003</v>
      </c>
      <c r="I100" s="4">
        <f t="shared" si="38"/>
        <v>3605.7315066666688</v>
      </c>
      <c r="J100" s="4">
        <f t="shared" si="38"/>
        <v>3220.2874200000006</v>
      </c>
      <c r="K100" s="4">
        <f t="shared" si="38"/>
        <v>1314.0599999999977</v>
      </c>
      <c r="Q100" t="s">
        <v>125</v>
      </c>
    </row>
    <row r="101" spans="1:27" x14ac:dyDescent="0.35">
      <c r="A101" t="s">
        <v>39</v>
      </c>
      <c r="D101" s="4">
        <f t="shared" ref="D101:I101" si="39">D89-D64</f>
        <v>1807.2268200000003</v>
      </c>
      <c r="E101" s="4">
        <f t="shared" si="39"/>
        <v>2097.801539999999</v>
      </c>
      <c r="F101" s="4">
        <f t="shared" si="39"/>
        <v>2058.6288799999988</v>
      </c>
      <c r="G101" s="4">
        <f t="shared" si="39"/>
        <v>4444.9259733333338</v>
      </c>
      <c r="H101" s="4">
        <f t="shared" si="39"/>
        <v>3254.1449599999987</v>
      </c>
      <c r="I101" s="4">
        <f t="shared" si="39"/>
        <v>2964.4935466666684</v>
      </c>
      <c r="Q101" s="6" t="s">
        <v>19</v>
      </c>
      <c r="R101" s="6">
        <v>1</v>
      </c>
      <c r="S101" s="6">
        <v>2</v>
      </c>
      <c r="T101" s="6">
        <v>3</v>
      </c>
      <c r="U101" s="6">
        <v>4</v>
      </c>
      <c r="V101" s="6">
        <v>5</v>
      </c>
      <c r="W101" s="6">
        <v>6</v>
      </c>
      <c r="X101" s="6">
        <v>7</v>
      </c>
      <c r="Y101" s="6">
        <v>8</v>
      </c>
      <c r="Z101" s="6">
        <v>9</v>
      </c>
      <c r="AA101" s="6">
        <v>10</v>
      </c>
    </row>
    <row r="102" spans="1:27" x14ac:dyDescent="0.35">
      <c r="A102" s="8" t="s">
        <v>42</v>
      </c>
      <c r="Q102" s="31" t="s">
        <v>121</v>
      </c>
      <c r="R102" s="6"/>
      <c r="S102" s="6"/>
      <c r="T102" s="6"/>
      <c r="U102" s="6"/>
      <c r="V102" s="6"/>
      <c r="W102" s="6"/>
      <c r="X102" s="6"/>
      <c r="Y102" s="6"/>
      <c r="Z102" s="6"/>
      <c r="AA102" s="6"/>
    </row>
    <row r="103" spans="1:27" x14ac:dyDescent="0.35">
      <c r="A103" s="8" t="s">
        <v>43</v>
      </c>
      <c r="Q103" s="6" t="s">
        <v>119</v>
      </c>
      <c r="R103" s="32">
        <f t="shared" ref="R103:AA103" si="40">B50</f>
        <v>2400</v>
      </c>
      <c r="S103" s="32">
        <f t="shared" si="40"/>
        <v>9500</v>
      </c>
      <c r="T103" s="32">
        <f t="shared" si="40"/>
        <v>14400</v>
      </c>
      <c r="U103" s="32">
        <f t="shared" si="40"/>
        <v>18700</v>
      </c>
      <c r="V103" s="32">
        <f t="shared" si="40"/>
        <v>24700</v>
      </c>
      <c r="W103" s="32">
        <f t="shared" si="40"/>
        <v>31600</v>
      </c>
      <c r="X103" s="32">
        <f t="shared" si="40"/>
        <v>39900</v>
      </c>
      <c r="Y103" s="32">
        <f t="shared" si="40"/>
        <v>49700</v>
      </c>
      <c r="Z103" s="32">
        <f t="shared" si="40"/>
        <v>64500</v>
      </c>
      <c r="AA103" s="32">
        <f t="shared" si="40"/>
        <v>113800</v>
      </c>
    </row>
    <row r="104" spans="1:27" x14ac:dyDescent="0.35">
      <c r="A104" s="8" t="s">
        <v>45</v>
      </c>
      <c r="Q104" s="6" t="s">
        <v>82</v>
      </c>
      <c r="R104" s="32">
        <f t="shared" ref="R104:AA104" si="41">B56</f>
        <v>2400</v>
      </c>
      <c r="S104" s="32">
        <f t="shared" si="41"/>
        <v>8929.89</v>
      </c>
      <c r="T104" s="32">
        <f t="shared" si="41"/>
        <v>13302.089480000001</v>
      </c>
      <c r="U104" s="32">
        <f t="shared" si="41"/>
        <v>17234.955480000001</v>
      </c>
      <c r="V104" s="32">
        <f t="shared" si="41"/>
        <v>21608.44512</v>
      </c>
      <c r="W104" s="32">
        <f t="shared" si="41"/>
        <v>25654.19112</v>
      </c>
      <c r="X104" s="32">
        <f t="shared" si="41"/>
        <v>30142.189920000001</v>
      </c>
      <c r="Y104" s="32">
        <f t="shared" si="41"/>
        <v>35138.033920000002</v>
      </c>
      <c r="Z104" s="32">
        <f t="shared" si="41"/>
        <v>42682.77792</v>
      </c>
      <c r="AA104" s="32">
        <f t="shared" si="41"/>
        <v>65792.6005</v>
      </c>
    </row>
    <row r="105" spans="1:27" x14ac:dyDescent="0.35">
      <c r="A105" s="8" t="s">
        <v>44</v>
      </c>
      <c r="Q105" s="6" t="s">
        <v>80</v>
      </c>
      <c r="R105" s="6" t="s">
        <v>123</v>
      </c>
      <c r="S105" s="6" t="s">
        <v>123</v>
      </c>
      <c r="T105" s="32">
        <f>D65</f>
        <v>14400</v>
      </c>
      <c r="U105" s="32">
        <f t="shared" ref="U105:Z105" si="42">E65</f>
        <v>18097.849999999999</v>
      </c>
      <c r="V105" s="32">
        <f t="shared" si="42"/>
        <v>22813.014940000001</v>
      </c>
      <c r="W105" s="32">
        <f t="shared" si="42"/>
        <v>28167.138940000001</v>
      </c>
      <c r="X105" s="32">
        <f t="shared" si="42"/>
        <v>32176.442940000001</v>
      </c>
      <c r="Y105" s="32">
        <f t="shared" si="42"/>
        <v>38026.65094</v>
      </c>
      <c r="Z105" s="32">
        <f t="shared" si="42"/>
        <v>46861.658940000001</v>
      </c>
      <c r="AA105" s="32" t="s">
        <v>123</v>
      </c>
    </row>
    <row r="106" spans="1:27" x14ac:dyDescent="0.35">
      <c r="A106" s="8" t="s">
        <v>104</v>
      </c>
      <c r="Q106" s="28" t="s">
        <v>122</v>
      </c>
      <c r="R106" s="29"/>
      <c r="S106" s="29"/>
      <c r="T106" s="29"/>
      <c r="U106" s="29"/>
      <c r="V106" s="29"/>
      <c r="W106" s="29"/>
      <c r="X106" s="29"/>
      <c r="Y106" s="29"/>
      <c r="Z106" s="29"/>
      <c r="AA106" s="29" t="s">
        <v>123</v>
      </c>
    </row>
    <row r="107" spans="1:27" x14ac:dyDescent="0.35">
      <c r="A107" s="8"/>
      <c r="Q107" s="29" t="s">
        <v>119</v>
      </c>
      <c r="R107" s="30">
        <f t="shared" ref="R107:AA107" si="43">B116</f>
        <v>3900</v>
      </c>
      <c r="S107" s="30">
        <f t="shared" si="43"/>
        <v>18042.666666666668</v>
      </c>
      <c r="T107" s="30">
        <f t="shared" si="43"/>
        <v>24344</v>
      </c>
      <c r="U107" s="30">
        <f t="shared" si="43"/>
        <v>28328.666666666664</v>
      </c>
      <c r="V107" s="30">
        <f t="shared" si="43"/>
        <v>33888.666666666664</v>
      </c>
      <c r="W107" s="30">
        <f t="shared" si="43"/>
        <v>40282.666666666664</v>
      </c>
      <c r="X107" s="30">
        <f t="shared" si="43"/>
        <v>47974</v>
      </c>
      <c r="Y107" s="30">
        <f t="shared" si="43"/>
        <v>57055.333333333336</v>
      </c>
      <c r="Z107" s="30">
        <f t="shared" si="43"/>
        <v>70770</v>
      </c>
      <c r="AA107" s="30">
        <f t="shared" si="43"/>
        <v>116454.66666666667</v>
      </c>
    </row>
    <row r="108" spans="1:27" x14ac:dyDescent="0.35">
      <c r="A108" s="1" t="s">
        <v>46</v>
      </c>
      <c r="Q108" s="29" t="s">
        <v>82</v>
      </c>
      <c r="R108" s="30">
        <f t="shared" ref="R108:AA108" si="44">B121</f>
        <v>3900</v>
      </c>
      <c r="S108" s="30">
        <f t="shared" si="44"/>
        <v>16409.866666666669</v>
      </c>
      <c r="T108" s="30">
        <f t="shared" si="44"/>
        <v>20820.8</v>
      </c>
      <c r="U108" s="30">
        <f t="shared" si="44"/>
        <v>23610.066666666666</v>
      </c>
      <c r="V108" s="30">
        <f t="shared" si="44"/>
        <v>27113.199999999997</v>
      </c>
      <c r="W108" s="30">
        <f t="shared" si="44"/>
        <v>30949.599999999999</v>
      </c>
      <c r="X108" s="30">
        <f t="shared" si="44"/>
        <v>34867</v>
      </c>
      <c r="Y108" s="30">
        <f t="shared" si="44"/>
        <v>39407.666666666672</v>
      </c>
      <c r="Z108" s="30">
        <f t="shared" si="44"/>
        <v>45688</v>
      </c>
      <c r="AA108" s="30">
        <f t="shared" si="44"/>
        <v>63961.866666666669</v>
      </c>
    </row>
    <row r="109" spans="1:27" x14ac:dyDescent="0.35">
      <c r="A109" s="9" t="s">
        <v>47</v>
      </c>
      <c r="Q109" s="29" t="s">
        <v>80</v>
      </c>
      <c r="R109" s="29" t="s">
        <v>123</v>
      </c>
      <c r="S109" s="29" t="s">
        <v>123</v>
      </c>
      <c r="T109" s="30">
        <f>D126</f>
        <v>20820.8</v>
      </c>
      <c r="U109" s="30">
        <f t="shared" ref="U109:Z109" si="45">E126</f>
        <v>23610.066666666666</v>
      </c>
      <c r="V109" s="30">
        <f t="shared" si="45"/>
        <v>27113.199999999997</v>
      </c>
      <c r="W109" s="30">
        <f t="shared" si="45"/>
        <v>30949.599999999999</v>
      </c>
      <c r="X109" s="30">
        <f t="shared" si="45"/>
        <v>34867</v>
      </c>
      <c r="Y109" s="30">
        <f t="shared" si="45"/>
        <v>39407.666666666672</v>
      </c>
      <c r="Z109" s="30">
        <f t="shared" si="45"/>
        <v>45688</v>
      </c>
      <c r="AA109" s="30" t="s">
        <v>123</v>
      </c>
    </row>
    <row r="110" spans="1:27" x14ac:dyDescent="0.35">
      <c r="A110" t="s">
        <v>48</v>
      </c>
      <c r="C110">
        <v>12600</v>
      </c>
      <c r="E110">
        <v>30000</v>
      </c>
      <c r="G110">
        <v>41000</v>
      </c>
      <c r="I110">
        <v>65000</v>
      </c>
    </row>
    <row r="111" spans="1:27" x14ac:dyDescent="0.35">
      <c r="A111" t="s">
        <v>49</v>
      </c>
      <c r="B111" s="10">
        <v>0</v>
      </c>
      <c r="D111" s="11">
        <v>0.3</v>
      </c>
      <c r="F111" s="11">
        <v>0.4</v>
      </c>
      <c r="H111" s="11">
        <v>0.5</v>
      </c>
      <c r="J111" s="11">
        <v>0.6</v>
      </c>
    </row>
    <row r="112" spans="1:27" x14ac:dyDescent="0.35">
      <c r="A112" t="s">
        <v>66</v>
      </c>
      <c r="C112" s="4">
        <f>C110*B111</f>
        <v>0</v>
      </c>
      <c r="D112" s="4"/>
      <c r="E112" s="4">
        <f>(E110-C110)*D111+C112</f>
        <v>5220</v>
      </c>
      <c r="G112" s="4">
        <f>E112+(G110-E110)*F111</f>
        <v>9620</v>
      </c>
      <c r="I112" s="4">
        <f>G112+(I110-G110)*H111</f>
        <v>21620</v>
      </c>
    </row>
    <row r="113" spans="1:14" x14ac:dyDescent="0.35">
      <c r="C113" s="4"/>
      <c r="D113" s="4"/>
      <c r="E113" s="4"/>
      <c r="G113" s="4"/>
      <c r="I113" s="4"/>
    </row>
    <row r="114" spans="1:14" x14ac:dyDescent="0.35">
      <c r="A114" t="s">
        <v>22</v>
      </c>
    </row>
    <row r="115" spans="1:14" x14ac:dyDescent="0.35">
      <c r="A115" t="s">
        <v>19</v>
      </c>
      <c r="B115">
        <v>1</v>
      </c>
      <c r="C115">
        <v>2</v>
      </c>
      <c r="D115">
        <v>3</v>
      </c>
      <c r="E115">
        <v>4</v>
      </c>
      <c r="F115">
        <v>5</v>
      </c>
      <c r="G115">
        <v>6</v>
      </c>
      <c r="H115">
        <v>7</v>
      </c>
      <c r="I115">
        <v>8</v>
      </c>
      <c r="J115">
        <v>9</v>
      </c>
      <c r="K115">
        <v>10</v>
      </c>
    </row>
    <row r="116" spans="1:14" x14ac:dyDescent="0.35">
      <c r="A116" t="str">
        <f t="shared" ref="A116:K116" si="46">A76</f>
        <v>Midden deciel + Basisinkomen dyn</v>
      </c>
      <c r="B116" s="4">
        <f t="shared" si="46"/>
        <v>3900</v>
      </c>
      <c r="C116" s="4">
        <f t="shared" si="46"/>
        <v>18042.666666666668</v>
      </c>
      <c r="D116" s="4">
        <f t="shared" si="46"/>
        <v>24344</v>
      </c>
      <c r="E116" s="4">
        <f t="shared" si="46"/>
        <v>28328.666666666664</v>
      </c>
      <c r="F116" s="4">
        <f t="shared" si="46"/>
        <v>33888.666666666664</v>
      </c>
      <c r="G116" s="4">
        <f t="shared" si="46"/>
        <v>40282.666666666664</v>
      </c>
      <c r="H116" s="4">
        <f>H76</f>
        <v>47974</v>
      </c>
      <c r="I116" s="4">
        <f t="shared" si="46"/>
        <v>57055.333333333336</v>
      </c>
      <c r="J116" s="4">
        <f t="shared" si="46"/>
        <v>70770</v>
      </c>
      <c r="K116" s="4">
        <f t="shared" si="46"/>
        <v>116454.66666666667</v>
      </c>
    </row>
    <row r="117" spans="1:14" x14ac:dyDescent="0.35">
      <c r="A117" t="s">
        <v>50</v>
      </c>
      <c r="B117" s="4">
        <f>IF(B116&lt;C110,B111*B116,IF(B116&lt;E110,(B116-C110)*D111+C110*B111,IF(B116&lt;G110,(B116-E110)*F111+(E110-C110)*D111+C110*B111,IF(B116&lt;I110,(B116-G110)*H111+(G110-E110)*F111+(E110-C110)*D111+C110*B111,(B116-I110)*J111+(I110-G110)*H111+(G110-E110)*F111+(E110-C110)*D111+C110*B111))))</f>
        <v>0</v>
      </c>
      <c r="C117" s="4">
        <f t="shared" ref="C117:K117" si="47">IF(C116&lt;$C$110,$B$111*C116,IF(C116&lt;$E$110,(C116-$C$110)*$D$111+$C$110*$B$111,IF(C116&lt;$G$110,(C116-$E$110)*$F$111+($E$110-$C$110)*$D$111+$C$110*$B$111,IF(C116&lt;$I$110,(C116-$G$110)*$H$111+($G$110-$E$110)*$F$111+($E$110-$C$110)*$D$111+$C$110*$B$111,(C116-$I$110)*$J$111+($I$110-$G$110)*$H$111+($G$110-$E$110)*$F$111+($E$110-$C$110)*$D$111+$C$110*$B$111))))</f>
        <v>1632.8000000000004</v>
      </c>
      <c r="D117" s="4">
        <f t="shared" si="47"/>
        <v>3523.2</v>
      </c>
      <c r="E117" s="4">
        <f t="shared" si="47"/>
        <v>4718.5999999999995</v>
      </c>
      <c r="F117" s="4">
        <f t="shared" si="47"/>
        <v>6775.4666666666653</v>
      </c>
      <c r="G117" s="4">
        <f t="shared" si="47"/>
        <v>9333.0666666666657</v>
      </c>
      <c r="H117" s="4">
        <f t="shared" si="47"/>
        <v>13107</v>
      </c>
      <c r="I117" s="4">
        <f t="shared" si="47"/>
        <v>17647.666666666668</v>
      </c>
      <c r="J117" s="4">
        <f t="shared" si="47"/>
        <v>25082</v>
      </c>
      <c r="K117" s="4">
        <f t="shared" si="47"/>
        <v>52492.800000000003</v>
      </c>
      <c r="M117" s="3">
        <f>($B$37/10)*SUM(B117:K117)</f>
        <v>139272159911.30002</v>
      </c>
      <c r="N117" s="3"/>
    </row>
    <row r="118" spans="1:14" x14ac:dyDescent="0.35">
      <c r="A118" t="s">
        <v>126</v>
      </c>
      <c r="B118" s="4"/>
      <c r="C118" s="4"/>
      <c r="D118" s="4">
        <f>C112+(D116-C110)*0.25</f>
        <v>2936</v>
      </c>
      <c r="E118" s="4"/>
      <c r="F118" s="4"/>
      <c r="G118" s="4"/>
      <c r="H118" s="4">
        <f>IF(H116&lt;I110,G112+(H116-G110)*H111)</f>
        <v>13107</v>
      </c>
      <c r="I118" s="4"/>
      <c r="J118" s="4"/>
      <c r="K118" s="4">
        <f>(I112+(K116-I110)*J111)</f>
        <v>52492.800000000003</v>
      </c>
      <c r="M118" s="3"/>
      <c r="N118" s="3"/>
    </row>
    <row r="119" spans="1:14" x14ac:dyDescent="0.35">
      <c r="A119" t="s">
        <v>51</v>
      </c>
      <c r="B119" s="4"/>
      <c r="C119" s="4"/>
      <c r="D119" s="4"/>
      <c r="E119" s="4"/>
      <c r="F119" s="4"/>
      <c r="G119" s="4"/>
      <c r="H119" s="4"/>
      <c r="I119" s="4"/>
      <c r="J119" s="4"/>
      <c r="K119" s="4"/>
    </row>
    <row r="120" spans="1:14" x14ac:dyDescent="0.35">
      <c r="A120" t="s">
        <v>53</v>
      </c>
      <c r="B120" s="4">
        <f>B117-B119</f>
        <v>0</v>
      </c>
      <c r="C120" s="4">
        <f t="shared" ref="C120:K120" si="48">C117-C119</f>
        <v>1632.8000000000004</v>
      </c>
      <c r="D120" s="4">
        <f t="shared" si="48"/>
        <v>3523.2</v>
      </c>
      <c r="E120" s="4">
        <f t="shared" si="48"/>
        <v>4718.5999999999995</v>
      </c>
      <c r="F120" s="4">
        <f t="shared" si="48"/>
        <v>6775.4666666666653</v>
      </c>
      <c r="G120" s="4">
        <f t="shared" si="48"/>
        <v>9333.0666666666657</v>
      </c>
      <c r="H120" s="4">
        <f t="shared" si="48"/>
        <v>13107</v>
      </c>
      <c r="I120" s="4">
        <f t="shared" si="48"/>
        <v>17647.666666666668</v>
      </c>
      <c r="J120" s="4">
        <f t="shared" si="48"/>
        <v>25082</v>
      </c>
      <c r="K120" s="4">
        <f t="shared" si="48"/>
        <v>52492.800000000003</v>
      </c>
    </row>
    <row r="121" spans="1:14" x14ac:dyDescent="0.35">
      <c r="A121" t="s">
        <v>52</v>
      </c>
      <c r="B121" s="4">
        <f>B116-B120</f>
        <v>3900</v>
      </c>
      <c r="C121" s="4">
        <f t="shared" ref="C121:K121" si="49">C116-C120</f>
        <v>16409.866666666669</v>
      </c>
      <c r="D121" s="4">
        <f t="shared" si="49"/>
        <v>20820.8</v>
      </c>
      <c r="E121" s="4">
        <f t="shared" si="49"/>
        <v>23610.066666666666</v>
      </c>
      <c r="F121" s="4">
        <f t="shared" si="49"/>
        <v>27113.199999999997</v>
      </c>
      <c r="G121" s="4">
        <f t="shared" si="49"/>
        <v>30949.599999999999</v>
      </c>
      <c r="H121" s="4">
        <f t="shared" si="49"/>
        <v>34867</v>
      </c>
      <c r="I121" s="4">
        <f t="shared" si="49"/>
        <v>39407.666666666672</v>
      </c>
      <c r="J121" s="4">
        <f t="shared" si="49"/>
        <v>45688</v>
      </c>
      <c r="K121" s="4">
        <f t="shared" si="49"/>
        <v>63961.866666666669</v>
      </c>
      <c r="L121" s="4"/>
    </row>
    <row r="122" spans="1:14" x14ac:dyDescent="0.35">
      <c r="C122" s="4"/>
      <c r="D122" s="4"/>
      <c r="E122" s="4"/>
      <c r="F122" s="4"/>
      <c r="G122" s="4"/>
      <c r="H122" s="4"/>
      <c r="I122" s="4"/>
      <c r="J122" s="4"/>
      <c r="K122" s="4"/>
    </row>
    <row r="123" spans="1:14" x14ac:dyDescent="0.35">
      <c r="A123" t="s">
        <v>61</v>
      </c>
    </row>
    <row r="124" spans="1:14" x14ac:dyDescent="0.35">
      <c r="A124" t="s">
        <v>60</v>
      </c>
      <c r="D124" s="4">
        <f t="shared" ref="D124:J124" si="50">D85</f>
        <v>24344</v>
      </c>
      <c r="E124" s="4">
        <f t="shared" si="50"/>
        <v>28328.666666666664</v>
      </c>
      <c r="F124" s="4">
        <f t="shared" si="50"/>
        <v>33888.666666666664</v>
      </c>
      <c r="G124" s="4">
        <f t="shared" si="50"/>
        <v>40282.666666666664</v>
      </c>
      <c r="H124" s="4">
        <f t="shared" si="50"/>
        <v>47974</v>
      </c>
      <c r="I124" s="4">
        <f t="shared" si="50"/>
        <v>57055.333333333336</v>
      </c>
      <c r="J124" s="4">
        <f t="shared" si="50"/>
        <v>70770</v>
      </c>
    </row>
    <row r="125" spans="1:14" x14ac:dyDescent="0.35">
      <c r="A125" t="s">
        <v>50</v>
      </c>
      <c r="D125" s="4">
        <f>IF(D124&lt;$C$110,$B$111*D124,IF(D124&lt;$E$110,(D124-$C$110)*$D$111+$C$110*$B$111,IF(D124&lt;$G$110,(D124-$E$110)*$F$111+($E$110-$C$110)*$D$111+$C$110*$B$111,IF(D124&lt;$I$110,(D124-$G$110)*$H$111+($G$110-$E$110)*$F$111+($E$110-$C$110)*$D$111+$C$110*$B$111,(D124-$I$110)*$J$111+(D117-B117)*C119+($G$110-$E$110)*$F$111+($E$110-$C$110)*$D$111+$C$110*$B$111))))</f>
        <v>3523.2</v>
      </c>
      <c r="E125" s="4">
        <f>IF(E124&lt;$C$110,$B$111*E124,IF(E124&lt;$E$110,(E124-$C$110)*$D$111+$C$110*$B$111,IF(E124&lt;$G$110,(E124-$E$110)*$F$111+($E$110-$C$110)*$D$111+$C$110*$B$111,IF(E124&lt;$I$110,(E124-$G$110)*$H$111+($G$110-$E$110)*$F$111+($E$110-$C$110)*$D$111+$C$110*$B$111,(E124-$I$110)*$J$111+(E117-C117)*D119+($G$110-$E$110)*$F$111+($E$110-$C$110)*$D$111+$C$110*$B$111))))</f>
        <v>4718.5999999999995</v>
      </c>
      <c r="F125" s="4">
        <f>IF(F124&lt;$C$110,$B$111*F124,IF(F124&lt;$E$110,(F124-$C$110)*$D$111+$C$110*$B$111,IF(F124&lt;$G$110,(F124-$E$110)*$F$111+($E$110-$C$110)*$D$111+$C$110*$B$111,IF(F124&lt;$I$110,(F124-$G$110)*$H$111+($G$110-$E$110)*$F$111+($E$110-$C$110)*$D$111+$C$110*$B$111,(F124-$I$110)*$J$111+(F117-D117)*E119+($G$110-$E$110)*$F$111+($E$110-$C$110)*$D$111+$C$110*$B$111))))</f>
        <v>6775.4666666666653</v>
      </c>
      <c r="G125" s="4">
        <f>IF(G124&lt;$C$110,$B$111*G124,IF(G124&lt;$E$110,(G124-$C$110)*$D$111+$C$110*$B$111,IF(G124&lt;$G$110,(G124-$E$110)*$F$111+($E$110-$C$110)*$D$111+$C$110*$B$111,IF(G124&lt;$I$110,(G124-$G$110)*$H$111+($G$110-$E$110)*$F$111+($E$110-$C$110)*$D$111+$C$110*$B$111,(G124-$I$110)*$J$111+(G117-E117)*F119+($G$110-$E$110)*$F$111+($E$110-$C$110)*$D$111+$C$110*$B$111))))</f>
        <v>9333.0666666666657</v>
      </c>
      <c r="H125" s="4">
        <f>IF(H124&lt;$C$110,$B$111*H124,IF(H124&lt;$E$110,(H124-$C$110)*$D$111+$C$110*$B$111,IF(H124&lt;$G$110,(H124-$E$110)*$F$111+($E$110-$C$110)*$D$111+$C$110*$B$111,IF(H124&lt;$I$110,(H124-$G$110)*$H$111+($G$110-$E$110)*$F$111+($E$110-$C$110)*$D$111+$C$110*$B$111,(H124-$I$110)*$J$111+(H117-F117)*G119+($G$110-$E$110)*$F$111+($E$110-$C$110)*$D$111+$C$110*$B$111))))</f>
        <v>13107</v>
      </c>
      <c r="I125" s="4">
        <f>IF(I124&lt;$C$110,$B$111*I124,IF(I124&lt;$E$110,(I124-$C$110)*$D$111+$C$110*$B$111,IF(I124&lt;$G$110,(I124-$E$110)*$F$111+($E$110-$C$110)*$D$111+$C$110*$B$111,IF(I124&lt;$I$110,(I124-$G$110)*$H$111+($G$110-$E$110)*$F$111+($E$110-$C$110)*$D$111+$C$110*$B$111,(I124-$I$110)*$J$111+($I$110-$G$110)*$H$111+($G$110-$E$110)*$F$111+($E$110-$C$110)*$D$111+$C$110*$B$111))))</f>
        <v>17647.666666666668</v>
      </c>
      <c r="J125" s="4">
        <f>IF(J124&lt;$C$110,$B$111*J124,IF(J124&lt;$E$110,(J124-$C$110)*$D$111+$C$110*$B$111,IF(J124&lt;$G$110,(J124-$E$110)*$F$111+($E$110-$C$110)*$D$111+$C$110*$B$111,IF(J124&lt;$I$110,(J124-$G$110)*$H$111+($G$110-$E$110)*$F$111+($E$110-$C$110)*$D$111+$C$110*$B$111,(J124-$I$110)*$J$111+($I$110-$G$110)*$H$111+($G$110-$E$110)*$F$111+($E$110-$C$110)*$D$111+$C$110*$B$111))))</f>
        <v>25082</v>
      </c>
      <c r="M125" s="3">
        <f>($B$36/7)*SUM(D125:J125)</f>
        <v>35752748584.285713</v>
      </c>
      <c r="N125" s="3"/>
    </row>
    <row r="126" spans="1:14" x14ac:dyDescent="0.35">
      <c r="A126" t="s">
        <v>52</v>
      </c>
      <c r="D126" s="4">
        <f>D124-D125</f>
        <v>20820.8</v>
      </c>
      <c r="E126" s="4">
        <f t="shared" ref="E126:J126" si="51">E124-E125</f>
        <v>23610.066666666666</v>
      </c>
      <c r="F126" s="4">
        <f t="shared" si="51"/>
        <v>27113.199999999997</v>
      </c>
      <c r="G126" s="4">
        <f t="shared" si="51"/>
        <v>30949.599999999999</v>
      </c>
      <c r="H126" s="4">
        <f t="shared" si="51"/>
        <v>34867</v>
      </c>
      <c r="I126" s="4">
        <f t="shared" si="51"/>
        <v>39407.666666666672</v>
      </c>
      <c r="J126" s="4">
        <f t="shared" si="51"/>
        <v>45688</v>
      </c>
    </row>
    <row r="127" spans="1:14" x14ac:dyDescent="0.35">
      <c r="A127" t="s">
        <v>62</v>
      </c>
      <c r="I127" s="4"/>
      <c r="M127" s="13">
        <f>M117+M125</f>
        <v>175024908495.58572</v>
      </c>
    </row>
    <row r="128" spans="1:14" s="14" customFormat="1" x14ac:dyDescent="0.35">
      <c r="A128" s="21" t="s">
        <v>71</v>
      </c>
      <c r="L128" s="12"/>
      <c r="M128" s="20">
        <f>M127-M67</f>
        <v>45631130492.992798</v>
      </c>
    </row>
    <row r="129" spans="1:16" s="14" customFormat="1" x14ac:dyDescent="0.35">
      <c r="A129" s="21"/>
      <c r="L129" s="12"/>
      <c r="M129" s="20"/>
    </row>
    <row r="130" spans="1:16" x14ac:dyDescent="0.35">
      <c r="A130" s="41" t="s">
        <v>140</v>
      </c>
      <c r="B130" s="41"/>
      <c r="C130" s="41"/>
      <c r="D130" s="41"/>
      <c r="E130" s="41"/>
      <c r="F130" s="41"/>
      <c r="G130" s="41"/>
      <c r="H130" s="41"/>
      <c r="I130" s="41"/>
      <c r="J130" s="41"/>
      <c r="K130" s="41"/>
      <c r="L130" s="41"/>
    </row>
    <row r="131" spans="1:16" ht="15" thickBot="1" x14ac:dyDescent="0.4">
      <c r="A131" s="41" t="s">
        <v>137</v>
      </c>
      <c r="B131" s="41"/>
      <c r="C131" s="41"/>
      <c r="D131" s="41"/>
      <c r="E131" s="41"/>
      <c r="F131" s="41"/>
      <c r="G131" s="41"/>
      <c r="H131" s="41"/>
      <c r="I131" s="41"/>
      <c r="J131" s="41"/>
      <c r="K131" s="41"/>
      <c r="L131" s="40">
        <f>N45</f>
        <v>105857412685.00002</v>
      </c>
    </row>
    <row r="132" spans="1:16" ht="15" thickBot="1" x14ac:dyDescent="0.4">
      <c r="A132" s="41" t="s">
        <v>186</v>
      </c>
      <c r="B132" s="41"/>
      <c r="C132" s="41"/>
      <c r="D132" s="41"/>
      <c r="E132" s="41"/>
      <c r="F132" s="41"/>
      <c r="G132" s="41"/>
      <c r="H132" s="41"/>
      <c r="I132" s="41"/>
      <c r="J132" s="41"/>
      <c r="K132" s="41"/>
      <c r="L132" s="40">
        <f>M128</f>
        <v>45631130492.992798</v>
      </c>
      <c r="N132" s="78"/>
      <c r="O132" s="79" t="s">
        <v>228</v>
      </c>
      <c r="P132" s="80" t="s">
        <v>229</v>
      </c>
    </row>
    <row r="133" spans="1:16" x14ac:dyDescent="0.35">
      <c r="A133" s="41" t="s">
        <v>218</v>
      </c>
      <c r="B133" s="41"/>
      <c r="C133" s="41"/>
      <c r="D133" s="41"/>
      <c r="E133" s="41"/>
      <c r="F133" s="41"/>
      <c r="G133" s="41"/>
      <c r="H133" s="41"/>
      <c r="I133" s="41"/>
      <c r="J133" s="41"/>
      <c r="K133" s="41"/>
      <c r="L133" s="40">
        <f>M34</f>
        <v>19402000000</v>
      </c>
      <c r="N133" s="75" t="s">
        <v>221</v>
      </c>
      <c r="O133" s="76" t="s">
        <v>226</v>
      </c>
      <c r="P133" s="77">
        <f>B112</f>
        <v>0</v>
      </c>
    </row>
    <row r="134" spans="1:16" x14ac:dyDescent="0.35">
      <c r="A134" s="41" t="s">
        <v>205</v>
      </c>
      <c r="B134" s="41"/>
      <c r="C134" s="41"/>
      <c r="D134" s="41"/>
      <c r="E134" s="41"/>
      <c r="F134" s="41"/>
      <c r="G134" s="41"/>
      <c r="H134" s="41"/>
      <c r="I134" s="41"/>
      <c r="J134" s="41"/>
      <c r="K134" s="41"/>
      <c r="L134" s="40">
        <f>L131-L132-L133</f>
        <v>40824282192.007217</v>
      </c>
      <c r="N134" s="69" t="s">
        <v>224</v>
      </c>
      <c r="O134" s="70" t="s">
        <v>269</v>
      </c>
      <c r="P134" s="71">
        <f>D111</f>
        <v>0.3</v>
      </c>
    </row>
    <row r="135" spans="1:16" x14ac:dyDescent="0.35">
      <c r="N135" s="69" t="s">
        <v>225</v>
      </c>
      <c r="O135" s="70" t="s">
        <v>270</v>
      </c>
      <c r="P135" s="71">
        <f>F111</f>
        <v>0.4</v>
      </c>
    </row>
    <row r="136" spans="1:16" x14ac:dyDescent="0.35">
      <c r="N136" s="69" t="s">
        <v>222</v>
      </c>
      <c r="O136" s="70" t="s">
        <v>271</v>
      </c>
      <c r="P136" s="71">
        <f>H111</f>
        <v>0.5</v>
      </c>
    </row>
    <row r="137" spans="1:16" ht="15" thickBot="1" x14ac:dyDescent="0.4">
      <c r="A137" t="s">
        <v>109</v>
      </c>
      <c r="B137" s="23">
        <f t="shared" ref="B137:K137" si="52">B120/B116</f>
        <v>0</v>
      </c>
      <c r="C137" s="23">
        <f t="shared" si="52"/>
        <v>9.0496600650310385E-2</v>
      </c>
      <c r="D137" s="23">
        <f t="shared" si="52"/>
        <v>0.14472559973710153</v>
      </c>
      <c r="E137" s="23">
        <f t="shared" si="52"/>
        <v>0.16656625797190125</v>
      </c>
      <c r="F137" s="23">
        <f t="shared" si="52"/>
        <v>0.19993311431550367</v>
      </c>
      <c r="G137" s="23">
        <f t="shared" si="52"/>
        <v>0.23168939494240698</v>
      </c>
      <c r="H137" s="23">
        <f t="shared" si="52"/>
        <v>0.27321048901488304</v>
      </c>
      <c r="I137" s="23">
        <f t="shared" si="52"/>
        <v>0.30930792330252505</v>
      </c>
      <c r="J137" s="23">
        <f t="shared" si="52"/>
        <v>0.35441571287268614</v>
      </c>
      <c r="K137" s="23">
        <f t="shared" si="52"/>
        <v>0.4507573762608626</v>
      </c>
      <c r="N137" s="72" t="s">
        <v>223</v>
      </c>
      <c r="O137" s="73" t="s">
        <v>227</v>
      </c>
      <c r="P137" s="74">
        <f>J111</f>
        <v>0.6</v>
      </c>
    </row>
    <row r="138" spans="1:16" x14ac:dyDescent="0.35">
      <c r="B138" s="23"/>
      <c r="C138" s="23"/>
      <c r="D138" s="23"/>
      <c r="E138" s="23"/>
      <c r="F138" s="23"/>
      <c r="G138" s="23"/>
      <c r="H138" s="23"/>
      <c r="I138" s="23"/>
      <c r="J138" s="23"/>
      <c r="K138" s="23"/>
    </row>
    <row r="139" spans="1:16" x14ac:dyDescent="0.35">
      <c r="A139" s="1" t="s">
        <v>127</v>
      </c>
      <c r="L139" s="19" t="s">
        <v>97</v>
      </c>
      <c r="M139" s="1" t="s">
        <v>128</v>
      </c>
      <c r="N139" s="1" t="s">
        <v>129</v>
      </c>
      <c r="O139" s="1" t="s">
        <v>130</v>
      </c>
    </row>
    <row r="140" spans="1:16" x14ac:dyDescent="0.35">
      <c r="A140" t="s">
        <v>63</v>
      </c>
      <c r="B140" s="4">
        <f t="shared" ref="B140:K140" si="53">B121-B56</f>
        <v>1500</v>
      </c>
      <c r="C140" s="4">
        <f t="shared" si="53"/>
        <v>7479.9766666666692</v>
      </c>
      <c r="D140" s="4">
        <f t="shared" si="53"/>
        <v>7518.7105199999987</v>
      </c>
      <c r="E140" s="4">
        <f t="shared" si="53"/>
        <v>6375.1111866666652</v>
      </c>
      <c r="F140" s="4">
        <f t="shared" si="53"/>
        <v>5504.7548799999968</v>
      </c>
      <c r="G140" s="4">
        <f t="shared" si="53"/>
        <v>5295.408879999999</v>
      </c>
      <c r="H140" s="36">
        <f t="shared" si="53"/>
        <v>4724.8100799999993</v>
      </c>
      <c r="I140" s="4">
        <f t="shared" si="53"/>
        <v>4269.6327466666698</v>
      </c>
      <c r="J140" s="4">
        <f t="shared" si="53"/>
        <v>3005.2220799999996</v>
      </c>
      <c r="K140" s="4">
        <f t="shared" si="53"/>
        <v>-1830.7338333333319</v>
      </c>
      <c r="L140" s="68">
        <f>SUM(B140:K140)*B37/10</f>
        <v>45461813959.76944</v>
      </c>
      <c r="M140" s="3">
        <f>($B$37/10)*SUM(B140:H140)</f>
        <v>39816666076.69677</v>
      </c>
      <c r="N140" s="3">
        <f>SUM(I140,K140)*B37/10+SUM(I141,J141)*B36/7</f>
        <v>5772575211.4239902</v>
      </c>
      <c r="O140" s="3">
        <f>SUM(B140:F140)*B37/10</f>
        <v>29426445521.489296</v>
      </c>
      <c r="P140" s="4">
        <f>SUM(B140:J140)</f>
        <v>45673.627039999999</v>
      </c>
    </row>
    <row r="141" spans="1:16" x14ac:dyDescent="0.35">
      <c r="A141" t="s">
        <v>67</v>
      </c>
      <c r="D141" s="4">
        <f t="shared" ref="D141:J141" si="54">D126-D56</f>
        <v>7518.7105199999987</v>
      </c>
      <c r="E141" s="4">
        <f t="shared" si="54"/>
        <v>6375.1111866666652</v>
      </c>
      <c r="F141" s="4">
        <f t="shared" si="54"/>
        <v>5504.7548799999968</v>
      </c>
      <c r="G141" s="4">
        <f t="shared" si="54"/>
        <v>5295.408879999999</v>
      </c>
      <c r="H141" s="4">
        <f t="shared" si="54"/>
        <v>4724.8100799999993</v>
      </c>
      <c r="I141" s="4">
        <f t="shared" si="54"/>
        <v>4269.6327466666698</v>
      </c>
      <c r="J141" s="4">
        <f t="shared" si="54"/>
        <v>3005.2220799999996</v>
      </c>
      <c r="L141" s="68">
        <f>SUM(D141:J141)*B36/10</f>
        <v>11452345137.069946</v>
      </c>
      <c r="M141" s="3">
        <f>($B$36/7)*SUM(D141:H141)</f>
        <v>13116874316.690702</v>
      </c>
      <c r="N141" s="3">
        <f>SUM(I141,K141)*B38/10+SUM(I142,J142)*B37/7</f>
        <v>5759873338.3176041</v>
      </c>
      <c r="O141" s="3">
        <f>SUM(D141:F141)*B36/10</f>
        <v>6054431542.7347717</v>
      </c>
    </row>
    <row r="142" spans="1:16" x14ac:dyDescent="0.35">
      <c r="A142" t="s">
        <v>97</v>
      </c>
      <c r="L142" s="68">
        <f>L140+L141</f>
        <v>56914159096.839386</v>
      </c>
      <c r="M142" s="3">
        <f>SUM(M140:M141)</f>
        <v>52933540393.387474</v>
      </c>
      <c r="N142" s="3">
        <f>SUM(B140:H140)*B37/10 + SUM(D141:I141)*B36/7</f>
        <v>54837229347.193039</v>
      </c>
      <c r="O142" s="3">
        <f>SUM(O140:O141)</f>
        <v>35480877064.224068</v>
      </c>
    </row>
    <row r="144" spans="1:16" x14ac:dyDescent="0.35">
      <c r="A144" s="1" t="s">
        <v>95</v>
      </c>
      <c r="M144" s="19" t="s">
        <v>97</v>
      </c>
    </row>
    <row r="145" spans="1:13" x14ac:dyDescent="0.35">
      <c r="A145" t="s">
        <v>96</v>
      </c>
      <c r="B145" s="3">
        <f t="shared" ref="B145:K145" si="55">($B$37/10)*B55+($B$36/7)*B64</f>
        <v>0</v>
      </c>
      <c r="C145" s="3">
        <f t="shared" si="55"/>
        <v>591161596.80500007</v>
      </c>
      <c r="D145" s="3">
        <f t="shared" si="55"/>
        <v>1138451414.9062598</v>
      </c>
      <c r="E145" s="3">
        <f t="shared" si="55"/>
        <v>1787620921.4946885</v>
      </c>
      <c r="F145" s="3">
        <f t="shared" si="55"/>
        <v>4047056727.037756</v>
      </c>
      <c r="G145" s="3">
        <f t="shared" si="55"/>
        <v>7695960798.4461832</v>
      </c>
      <c r="H145" s="3">
        <f t="shared" si="55"/>
        <v>13561802415.145353</v>
      </c>
      <c r="I145" s="3">
        <f t="shared" si="55"/>
        <v>20304436751.443352</v>
      </c>
      <c r="J145" s="3">
        <f t="shared" si="55"/>
        <v>30487190647.077065</v>
      </c>
      <c r="K145" s="3">
        <f t="shared" si="55"/>
        <v>49780096730.237251</v>
      </c>
      <c r="M145" s="3">
        <f>SUM(B145:K145)</f>
        <v>129393778002.5929</v>
      </c>
    </row>
    <row r="146" spans="1:13" x14ac:dyDescent="0.35">
      <c r="A146" t="s">
        <v>107</v>
      </c>
      <c r="B146" s="3">
        <f t="shared" ref="B146:K146" si="56">($B$37/10)*B81+($B$36/7)*B89</f>
        <v>0</v>
      </c>
      <c r="C146" s="3">
        <f t="shared" si="56"/>
        <v>1460946527.1557002</v>
      </c>
      <c r="D146" s="3">
        <f t="shared" si="56"/>
        <v>3858794430.0201607</v>
      </c>
      <c r="E146" s="3">
        <f t="shared" si="56"/>
        <v>5965992462.3687754</v>
      </c>
      <c r="F146" s="3">
        <f t="shared" si="56"/>
        <v>8906268786.5761471</v>
      </c>
      <c r="G146" s="3">
        <f t="shared" si="56"/>
        <v>13825086232.086514</v>
      </c>
      <c r="H146" s="3">
        <f t="shared" si="56"/>
        <v>19116907479.560665</v>
      </c>
      <c r="I146" s="3">
        <f t="shared" si="56"/>
        <v>25365081964.530148</v>
      </c>
      <c r="J146" s="3">
        <f t="shared" si="56"/>
        <v>35046211711.03511</v>
      </c>
      <c r="K146" s="3">
        <f t="shared" si="56"/>
        <v>51142679052.76725</v>
      </c>
      <c r="M146" s="3">
        <f t="shared" ref="M146:M151" si="57">SUM(B146:K146)</f>
        <v>164687968646.10046</v>
      </c>
    </row>
    <row r="147" spans="1:13" x14ac:dyDescent="0.35">
      <c r="A147" t="s">
        <v>230</v>
      </c>
      <c r="B147" s="3">
        <f t="shared" ref="B147:K147" si="58">($B$37/10)*B120+($B$36/7)*B125</f>
        <v>0</v>
      </c>
      <c r="C147" s="3">
        <f t="shared" si="58"/>
        <v>1693091956.4000003</v>
      </c>
      <c r="D147" s="3">
        <f t="shared" si="58"/>
        <v>5224175039.3142853</v>
      </c>
      <c r="E147" s="3">
        <f t="shared" si="58"/>
        <v>6996705364.5857134</v>
      </c>
      <c r="F147" s="3">
        <f t="shared" si="58"/>
        <v>10046612125.257141</v>
      </c>
      <c r="G147" s="3">
        <f t="shared" si="58"/>
        <v>13839002588.628569</v>
      </c>
      <c r="H147" s="3">
        <f t="shared" si="58"/>
        <v>19434963169.92857</v>
      </c>
      <c r="I147" s="3">
        <f t="shared" si="58"/>
        <v>26167830296.928574</v>
      </c>
      <c r="J147" s="3">
        <f t="shared" si="58"/>
        <v>37191405068.142853</v>
      </c>
      <c r="K147" s="3">
        <f t="shared" si="58"/>
        <v>54431122886.400002</v>
      </c>
      <c r="M147" s="3">
        <f t="shared" si="57"/>
        <v>175024908495.58569</v>
      </c>
    </row>
    <row r="148" spans="1:13" x14ac:dyDescent="0.35">
      <c r="M148" s="3"/>
    </row>
    <row r="149" spans="1:13" x14ac:dyDescent="0.35">
      <c r="A149" t="s">
        <v>231</v>
      </c>
      <c r="B149" s="3">
        <f>B146-B145</f>
        <v>0</v>
      </c>
      <c r="C149" s="3">
        <f t="shared" ref="C149:J149" si="59">C146-C145</f>
        <v>869784930.35070014</v>
      </c>
      <c r="D149" s="3">
        <f t="shared" si="59"/>
        <v>2720343015.1139011</v>
      </c>
      <c r="E149" s="3">
        <f t="shared" si="59"/>
        <v>4178371540.8740869</v>
      </c>
      <c r="F149" s="3">
        <f t="shared" si="59"/>
        <v>4859212059.5383911</v>
      </c>
      <c r="G149" s="3">
        <f t="shared" si="59"/>
        <v>6129125433.6403303</v>
      </c>
      <c r="H149" s="3">
        <f t="shared" si="59"/>
        <v>5555105064.4153118</v>
      </c>
      <c r="I149" s="3">
        <f t="shared" si="59"/>
        <v>5060645213.0867958</v>
      </c>
      <c r="J149" s="3">
        <f t="shared" si="59"/>
        <v>4559021063.958046</v>
      </c>
      <c r="K149" s="3">
        <f>K146-K145</f>
        <v>1362582322.5299988</v>
      </c>
      <c r="M149" s="3">
        <f t="shared" si="57"/>
        <v>35294190643.507568</v>
      </c>
    </row>
    <row r="150" spans="1:13" x14ac:dyDescent="0.35">
      <c r="M150" s="3"/>
    </row>
    <row r="151" spans="1:13" x14ac:dyDescent="0.35">
      <c r="A151" t="s">
        <v>232</v>
      </c>
      <c r="B151" s="3">
        <f>B147-B145</f>
        <v>0</v>
      </c>
      <c r="C151" s="3">
        <f t="shared" ref="C151:J151" si="60">C147-C145</f>
        <v>1101930359.5950003</v>
      </c>
      <c r="D151" s="3">
        <f t="shared" si="60"/>
        <v>4085723624.4080257</v>
      </c>
      <c r="E151" s="3">
        <f t="shared" si="60"/>
        <v>5209084443.0910244</v>
      </c>
      <c r="F151" s="3">
        <f t="shared" si="60"/>
        <v>5999555398.2193851</v>
      </c>
      <c r="G151" s="3">
        <f t="shared" si="60"/>
        <v>6143041790.1823854</v>
      </c>
      <c r="H151" s="3">
        <f t="shared" si="60"/>
        <v>5873160754.7832165</v>
      </c>
      <c r="I151" s="3">
        <f t="shared" si="60"/>
        <v>5863393545.4852219</v>
      </c>
      <c r="J151" s="3">
        <f t="shared" si="60"/>
        <v>6704214421.0657883</v>
      </c>
      <c r="K151" s="3">
        <f>K147-K145</f>
        <v>4651026156.1627502</v>
      </c>
      <c r="M151" s="3">
        <f t="shared" si="57"/>
        <v>45631130492.992798</v>
      </c>
    </row>
    <row r="154" spans="1:13" x14ac:dyDescent="0.35">
      <c r="A154" s="1" t="s">
        <v>187</v>
      </c>
    </row>
    <row r="155" spans="1:13" x14ac:dyDescent="0.35">
      <c r="A155" t="s">
        <v>69</v>
      </c>
      <c r="B155" s="3">
        <f>L131</f>
        <v>105857412685.00002</v>
      </c>
    </row>
    <row r="156" spans="1:13" x14ac:dyDescent="0.35">
      <c r="A156" t="s">
        <v>70</v>
      </c>
      <c r="B156" s="3">
        <f>L133</f>
        <v>19402000000</v>
      </c>
    </row>
    <row r="157" spans="1:13" x14ac:dyDescent="0.35">
      <c r="A157" t="s">
        <v>71</v>
      </c>
      <c r="B157" s="3">
        <f>L132</f>
        <v>45631130492.992798</v>
      </c>
    </row>
    <row r="158" spans="1:13" x14ac:dyDescent="0.35">
      <c r="A158" t="s">
        <v>72</v>
      </c>
      <c r="B158" s="3">
        <f>B155-B156-B157</f>
        <v>40824282192.007217</v>
      </c>
      <c r="C158" s="15" t="s">
        <v>6</v>
      </c>
      <c r="D158" s="16">
        <f>B158/1000000000</f>
        <v>40.824282192007217</v>
      </c>
      <c r="E158" t="s">
        <v>73</v>
      </c>
    </row>
    <row r="161" spans="1:18" x14ac:dyDescent="0.35">
      <c r="A161" s="1" t="s">
        <v>98</v>
      </c>
      <c r="N161" t="s">
        <v>102</v>
      </c>
      <c r="O161" t="s">
        <v>103</v>
      </c>
    </row>
    <row r="162" spans="1:18" x14ac:dyDescent="0.35">
      <c r="A162" t="s">
        <v>235</v>
      </c>
      <c r="B162" s="3">
        <f>($B$37/10)*B56+($B$36/7)*B65</f>
        <v>2488621200</v>
      </c>
      <c r="C162" s="3">
        <f t="shared" ref="C162:K162" si="61">($B$37/10)*C56+($B$36/7)*C65</f>
        <v>9259630653.1949997</v>
      </c>
      <c r="D162" s="3">
        <f t="shared" si="61"/>
        <v>20213762642.236595</v>
      </c>
      <c r="E162" s="3">
        <f t="shared" si="61"/>
        <v>25940601499.933884</v>
      </c>
      <c r="F162" s="3">
        <f t="shared" si="61"/>
        <v>32577921551.533676</v>
      </c>
      <c r="G162" s="3">
        <f t="shared" si="61"/>
        <v>39160286715.839531</v>
      </c>
      <c r="H162" s="3">
        <f t="shared" si="61"/>
        <v>45601624034.854645</v>
      </c>
      <c r="I162" s="3">
        <f t="shared" si="61"/>
        <v>53390357598.556648</v>
      </c>
      <c r="J162" s="3">
        <f t="shared" si="61"/>
        <v>65152934817.208649</v>
      </c>
      <c r="K162" s="3">
        <f t="shared" si="61"/>
        <v>68222025169.762749</v>
      </c>
      <c r="M162" t="str">
        <f>A162</f>
        <v>Netto inkomen vóór invoering BIDyn</v>
      </c>
      <c r="N162" s="11">
        <f>K162/SUM(B162:K162)</f>
        <v>0.18845459020287719</v>
      </c>
      <c r="O162" s="11">
        <f>SUM(B162:F162)/SUM(B162:K162)</f>
        <v>0.24994087440685428</v>
      </c>
    </row>
    <row r="163" spans="1:18" x14ac:dyDescent="0.35">
      <c r="A163" t="s">
        <v>236</v>
      </c>
      <c r="B163" s="3">
        <f>($B$37/10)*B121+($B$36/7)*B126</f>
        <v>4044009450</v>
      </c>
      <c r="C163" s="3">
        <f t="shared" ref="C163:K163" si="62">($B$37/10)*C121+($B$36/7)*C126</f>
        <v>17015809198.266668</v>
      </c>
      <c r="D163" s="3">
        <f t="shared" si="62"/>
        <v>30872929058.399998</v>
      </c>
      <c r="E163" s="3">
        <f t="shared" si="62"/>
        <v>35008833150.699997</v>
      </c>
      <c r="F163" s="3">
        <f t="shared" si="62"/>
        <v>40203253484.314285</v>
      </c>
      <c r="G163" s="3">
        <f t="shared" si="62"/>
        <v>45891839179.371429</v>
      </c>
      <c r="H163" s="3">
        <f t="shared" si="62"/>
        <v>51700531078.5</v>
      </c>
      <c r="I163" s="3">
        <f t="shared" si="62"/>
        <v>58433398205.500008</v>
      </c>
      <c r="J163" s="3">
        <f t="shared" si="62"/>
        <v>67745830266.857147</v>
      </c>
      <c r="K163" s="3">
        <f t="shared" si="62"/>
        <v>66323690574.26667</v>
      </c>
      <c r="M163" t="str">
        <f>A163</f>
        <v>Netto inkomen ná invoering BIDyn+geoptimaliseerde IB</v>
      </c>
      <c r="N163" s="11">
        <f>K163/SUM(B163:K163)</f>
        <v>0.15895808388387359</v>
      </c>
      <c r="O163" s="11">
        <f>SUM(B163:F163)/SUM(B163:K163)</f>
        <v>0.30472820598025957</v>
      </c>
    </row>
    <row r="165" spans="1:18" x14ac:dyDescent="0.35">
      <c r="M165" s="46" t="s">
        <v>122</v>
      </c>
      <c r="N165" s="47"/>
      <c r="O165" s="48"/>
      <c r="P165" s="46" t="s">
        <v>136</v>
      </c>
      <c r="Q165" s="47"/>
      <c r="R165" s="48"/>
    </row>
    <row r="166" spans="1:18" x14ac:dyDescent="0.35">
      <c r="A166" s="1" t="s">
        <v>110</v>
      </c>
      <c r="M166" s="49" t="s">
        <v>48</v>
      </c>
      <c r="N166" s="50" t="s">
        <v>131</v>
      </c>
      <c r="O166" s="51" t="s">
        <v>133</v>
      </c>
      <c r="P166" s="49" t="s">
        <v>135</v>
      </c>
      <c r="Q166" s="50" t="s">
        <v>131</v>
      </c>
      <c r="R166" s="51" t="s">
        <v>133</v>
      </c>
    </row>
    <row r="167" spans="1:18" x14ac:dyDescent="0.35">
      <c r="A167" t="s">
        <v>117</v>
      </c>
      <c r="B167">
        <v>12600</v>
      </c>
      <c r="C167">
        <f>E110</f>
        <v>30000</v>
      </c>
      <c r="D167">
        <f>G110</f>
        <v>41000</v>
      </c>
      <c r="E167">
        <f>I110</f>
        <v>65000</v>
      </c>
      <c r="M167" s="52">
        <f>B167</f>
        <v>12600</v>
      </c>
      <c r="N167" s="53">
        <f>B169</f>
        <v>0</v>
      </c>
      <c r="O167" s="54">
        <f>B167-B168</f>
        <v>12600</v>
      </c>
      <c r="P167" s="52">
        <v>12600</v>
      </c>
      <c r="Q167" s="53" t="e">
        <f>F177</f>
        <v>#DIV/0!</v>
      </c>
      <c r="R167" s="54">
        <f>F176</f>
        <v>0</v>
      </c>
    </row>
    <row r="168" spans="1:18" x14ac:dyDescent="0.35">
      <c r="A168" t="s">
        <v>233</v>
      </c>
      <c r="B168" s="4">
        <f>IF(B167&lt;$C$110,$B$111*B167,IF(B167&lt;$E$110,(B167-$C$110)*$D$111+$C$110*$B$111,IF(B167&lt;$G$110,(B167-$E$110)*$F$111+($E$110-$C$110)*$D$111+$C$110*$B$111,IF(B167&lt;$I$110,(B167-$G$110)*$H$111+($G$110-$E$110)*$F$111+($E$110-$C$110)*$D$111+$C$110*$B$111,(B167-$I$110)*$J$111+($I$110-$G$110)*$H$111+($G$110-$E$110)*$F$111+($E$110-$C$110)*$D$111+$C$110*$B$111))))</f>
        <v>0</v>
      </c>
      <c r="C168" s="4">
        <f>IF(C167&lt;$C$110,$B$111*C167,IF(C167&lt;$E$110,(C167-$C$110)*$D$111+$C$110*$B$111,IF(C167&lt;$G$110,(C167-$E$110)*$F$111+($E$110-$C$110)*$D$111+$C$110*$B$111,IF(C167&lt;$I$110,(C167-$G$110)*$H$111+($G$110-$E$110)*$F$111+($E$110-$C$110)*$D$111+$C$110*$B$111,(C167-$I$110)*$J$111+($I$110-$G$110)*$H$111+($G$110-$E$110)*$F$111+($E$110-$C$110)*$D$111+$C$110*$B$111))))</f>
        <v>5220</v>
      </c>
      <c r="D168" s="4">
        <f>IF(D167&lt;$C$110,$B$111*D167,IF(D167&lt;$E$110,(D167-$C$110)*$D$111+$C$110*$B$111,IF(D167&lt;$G$110,(D167-$E$110)*$F$111+($E$110-$C$110)*$D$111+$C$110*$B$111,IF(D167&lt;$I$110,(D167-$G$110)*$H$111+($G$110-$E$110)*$F$111+($E$110-$C$110)*$D$111+$C$110*$B$111,(D167-$I$110)*$J$111+($I$110-$G$110)*$H$111+($G$110-$E$110)*$F$111+($E$110-$C$110)*$D$111+$C$110*$B$111))))</f>
        <v>9620</v>
      </c>
      <c r="E168" s="4">
        <f>IF(E167&lt;$C$110,$B$111*E167,IF(E167&lt;$E$110,(E167-$C$110)*$D$111+$C$110*$B$111,IF(E167&lt;$G$110,(E167-$E$110)*$F$111+($E$110-$C$110)*$D$111+$C$110*$B$111,IF(E167&lt;$I$110,(E167-$G$110)*$H$111+($G$110-$E$110)*$F$111+($E$110-$C$110)*$D$111+$C$110*$B$111,(E167-$I$110)*$J$111+($I$110-$G$110)*$H$111+($G$110-$E$110)*$F$111+($E$110-$C$110)*$D$111+$C$110*$B$111))))</f>
        <v>21620</v>
      </c>
      <c r="M168" s="52">
        <f>C167</f>
        <v>30000</v>
      </c>
      <c r="N168" s="53">
        <f>C169</f>
        <v>0.17399999999999999</v>
      </c>
      <c r="O168" s="54">
        <f>C167-C168</f>
        <v>24780</v>
      </c>
      <c r="P168" s="52">
        <v>12600</v>
      </c>
      <c r="Q168" s="53" t="e">
        <f>F177</f>
        <v>#DIV/0!</v>
      </c>
      <c r="R168" s="54">
        <f>F176</f>
        <v>0</v>
      </c>
    </row>
    <row r="169" spans="1:18" s="17" customFormat="1" x14ac:dyDescent="0.35">
      <c r="A169" s="17" t="s">
        <v>234</v>
      </c>
      <c r="B169" s="24">
        <f>B168/B167</f>
        <v>0</v>
      </c>
      <c r="C169" s="24">
        <f>C168/C167</f>
        <v>0.17399999999999999</v>
      </c>
      <c r="D169" s="24">
        <f>D168/D167</f>
        <v>0.2346341463414634</v>
      </c>
      <c r="E169" s="24">
        <f>E168/E167</f>
        <v>0.33261538461538459</v>
      </c>
      <c r="M169" s="52">
        <f>D167</f>
        <v>41000</v>
      </c>
      <c r="N169" s="53">
        <f>D169</f>
        <v>0.2346341463414634</v>
      </c>
      <c r="O169" s="54">
        <f>D167-D168</f>
        <v>31380</v>
      </c>
      <c r="P169" s="52">
        <f>D171</f>
        <v>0</v>
      </c>
      <c r="Q169" s="53" t="e">
        <f>D177</f>
        <v>#DIV/0!</v>
      </c>
      <c r="R169" s="54">
        <f>D176</f>
        <v>0</v>
      </c>
    </row>
    <row r="170" spans="1:18" x14ac:dyDescent="0.35">
      <c r="F170" s="9" t="s">
        <v>132</v>
      </c>
      <c r="M170" s="55">
        <f>E167</f>
        <v>65000</v>
      </c>
      <c r="N170" s="56">
        <f>E169</f>
        <v>0.33261538461538459</v>
      </c>
      <c r="O170" s="57">
        <f>E167-E168</f>
        <v>43380</v>
      </c>
      <c r="P170" s="55">
        <f>E171</f>
        <v>0</v>
      </c>
      <c r="Q170" s="56" t="e">
        <f>E177</f>
        <v>#DIV/0!</v>
      </c>
      <c r="R170" s="57">
        <f>E176</f>
        <v>0</v>
      </c>
    </row>
    <row r="171" spans="1:18" x14ac:dyDescent="0.35">
      <c r="A171" t="s">
        <v>116</v>
      </c>
    </row>
    <row r="172" spans="1:18" x14ac:dyDescent="0.35">
      <c r="A172" t="s">
        <v>50</v>
      </c>
      <c r="B172" s="4">
        <f>IF(B171&lt;68507,37.35%*B171,(37.35%*68507+(B171-68507)*49.5%))</f>
        <v>0</v>
      </c>
      <c r="C172" s="4">
        <f>IF(C171&lt;68507,37.35%*C171,(37.35%*68507+(C171-68507)*49.5%))</f>
        <v>0</v>
      </c>
      <c r="D172" s="4">
        <f>IF(D171&lt;68507,37.35%*D171,(37.35%*68507+(D171-68507)*49.5%))</f>
        <v>0</v>
      </c>
      <c r="E172" s="4">
        <f>IF(E171&lt;68507,37.35%*E171,(37.35%*68507+(E171-68507)*49.5%))</f>
        <v>0</v>
      </c>
      <c r="F172" s="4">
        <f>IF(F171&lt;68507,37.35%*F171,(37.35%*68507+(F171-68507)*49.5%))</f>
        <v>0</v>
      </c>
    </row>
    <row r="173" spans="1:18" x14ac:dyDescent="0.35">
      <c r="A173" t="s">
        <v>113</v>
      </c>
      <c r="B173" s="4">
        <f>IF(B171&lt;20711,2711,IF(B171&lt;68507,(2711-0.05672*(B171-20711)),0))</f>
        <v>2711</v>
      </c>
      <c r="C173" s="4">
        <f>IF(C171&lt;20711,2711,IF(C171&lt;68507,(2711-0.05672*(C171-20711)),0))</f>
        <v>2711</v>
      </c>
      <c r="D173" s="4">
        <f>IF(D171&lt;20711,2711,IF(D171&lt;68507,(2711-0.05672*(D171-20711)),0))</f>
        <v>2711</v>
      </c>
      <c r="E173" s="4">
        <f>IF(E171&lt;20711,2711,IF(E171&lt;68507,(2711-0.05672*(E171-20711)),0))</f>
        <v>2711</v>
      </c>
      <c r="F173" s="4">
        <f>IF(F171&lt;20711,2711,IF(F171&lt;68507,(2711-0.05672*(F171-20711)),0))</f>
        <v>2711</v>
      </c>
    </row>
    <row r="174" spans="1:18" x14ac:dyDescent="0.35">
      <c r="A174" t="s">
        <v>23</v>
      </c>
      <c r="B174" s="4">
        <f>IF(B171&lt;9921,0.02812*B171,IF(B171&lt;21430,279+0.28812*(B171-9921),IF(B171&lt;34954,3595+0.01656*(B171-21430),IF(B171&lt;98604,3819-0.06*(B171-34954),0))))</f>
        <v>0</v>
      </c>
      <c r="C174" s="4">
        <f>IF(C171&lt;9921,0.02812*C171,IF(C171&lt;21430,279+0.28812*(C171-9921),IF(C171&lt;34954,3595+0.01656*(C171-21430),IF(C171&lt;98604,3819-0.06*(C171-34954),0))))</f>
        <v>0</v>
      </c>
      <c r="D174" s="4">
        <f>IF(D171&lt;9921,0.02812*D171,IF(D171&lt;21430,279+0.28812*(D171-9921),IF(D171&lt;34954,3595+0.01656*(D171-21430),IF(D171&lt;98604,3819-0.06*(D171-34954),0))))</f>
        <v>0</v>
      </c>
      <c r="E174" s="4">
        <f>IF(E171&lt;9921,0.02812*E171,IF(E171&lt;21430,279+0.28812*(E171-9921),IF(E171&lt;34954,3595+0.01656*(E171-21430),IF(E171&lt;98604,3819-0.06*(E171-34954),0))))</f>
        <v>0</v>
      </c>
      <c r="F174" s="4">
        <f>IF(F171&lt;9921,0.02812*F171,IF(F171&lt;21430,279+0.28812*(F171-9921),IF(F171&lt;34954,3595+0.01656*(F171-21430),IF(F171&lt;98604,3819-0.06*(F171-34954),0))))</f>
        <v>0</v>
      </c>
    </row>
    <row r="175" spans="1:18" x14ac:dyDescent="0.35">
      <c r="A175" t="s">
        <v>114</v>
      </c>
      <c r="B175" s="4">
        <f>IF(B172-B173-B174&lt;0,0,B172-B173-B174)</f>
        <v>0</v>
      </c>
      <c r="C175" s="4">
        <f>IF(C172-C173-C174&lt;0,0,C172-C173-C174)</f>
        <v>0</v>
      </c>
      <c r="D175" s="4">
        <f>IF(D172-D173-D174&lt;0,0,D172-D173-D174)</f>
        <v>0</v>
      </c>
      <c r="E175" s="4">
        <f>IF(E172-E173-E174&lt;0,0,E172-E173-E174)</f>
        <v>0</v>
      </c>
      <c r="F175" s="4">
        <f>IF(F172-F173-F174&lt;0,0,F172-F173-F174)</f>
        <v>0</v>
      </c>
    </row>
    <row r="176" spans="1:18" x14ac:dyDescent="0.35">
      <c r="A176" t="s">
        <v>134</v>
      </c>
      <c r="D176" s="4">
        <f>D171-D175</f>
        <v>0</v>
      </c>
      <c r="E176" s="4">
        <f>E171-E175</f>
        <v>0</v>
      </c>
      <c r="F176" s="4">
        <f>F171-F175</f>
        <v>0</v>
      </c>
    </row>
    <row r="177" spans="1:6" x14ac:dyDescent="0.35">
      <c r="A177" s="17" t="s">
        <v>115</v>
      </c>
      <c r="B177" s="17">
        <v>0</v>
      </c>
      <c r="C177" s="25" t="e">
        <f>C175/C171</f>
        <v>#DIV/0!</v>
      </c>
      <c r="D177" s="25" t="e">
        <f>D175/D171</f>
        <v>#DIV/0!</v>
      </c>
      <c r="E177" s="25" t="e">
        <f>E175/E171</f>
        <v>#DIV/0!</v>
      </c>
      <c r="F177" s="25" t="e">
        <f>F175/F171</f>
        <v>#DIV/0!</v>
      </c>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E462-816D-4B36-82FC-3C653C296722}">
  <dimension ref="A1:V158"/>
  <sheetViews>
    <sheetView topLeftCell="A146" zoomScale="90" zoomScaleNormal="90" workbookViewId="0">
      <selection activeCell="G180" sqref="G180"/>
    </sheetView>
  </sheetViews>
  <sheetFormatPr defaultRowHeight="14.5" x14ac:dyDescent="0.35"/>
  <cols>
    <col min="1" max="1" width="20.1796875" customWidth="1"/>
    <col min="2" max="2" width="38.453125" customWidth="1"/>
    <col min="7" max="7" width="10.26953125" bestFit="1" customWidth="1"/>
  </cols>
  <sheetData>
    <row r="1" spans="1:22" ht="18.5" x14ac:dyDescent="0.45">
      <c r="A1" s="5" t="s">
        <v>215</v>
      </c>
    </row>
    <row r="2" spans="1:22" x14ac:dyDescent="0.35">
      <c r="A2" t="s">
        <v>155</v>
      </c>
    </row>
    <row r="3" spans="1:22" x14ac:dyDescent="0.35">
      <c r="A3" t="s">
        <v>196</v>
      </c>
    </row>
    <row r="4" spans="1:22" x14ac:dyDescent="0.35">
      <c r="B4" t="s">
        <v>19</v>
      </c>
      <c r="C4">
        <v>1</v>
      </c>
      <c r="E4">
        <v>2</v>
      </c>
      <c r="G4">
        <v>3</v>
      </c>
      <c r="I4">
        <v>4</v>
      </c>
      <c r="K4">
        <v>5</v>
      </c>
      <c r="M4">
        <v>6</v>
      </c>
      <c r="O4">
        <v>7</v>
      </c>
      <c r="Q4">
        <v>8</v>
      </c>
      <c r="S4">
        <v>9</v>
      </c>
      <c r="U4">
        <v>10</v>
      </c>
    </row>
    <row r="5" spans="1:22" x14ac:dyDescent="0.35">
      <c r="B5" s="1" t="s">
        <v>124</v>
      </c>
    </row>
    <row r="6" spans="1:22" x14ac:dyDescent="0.35">
      <c r="B6" t="s">
        <v>64</v>
      </c>
      <c r="C6">
        <v>2400</v>
      </c>
      <c r="D6">
        <f>C6+100</f>
        <v>2500</v>
      </c>
      <c r="E6">
        <v>9500</v>
      </c>
      <c r="F6">
        <f>E6+100</f>
        <v>9600</v>
      </c>
      <c r="G6">
        <v>14400</v>
      </c>
      <c r="H6">
        <f>G6+100</f>
        <v>14500</v>
      </c>
      <c r="I6">
        <v>18700</v>
      </c>
      <c r="J6">
        <f>I6+100</f>
        <v>18800</v>
      </c>
      <c r="K6">
        <f>J6+1000</f>
        <v>19800</v>
      </c>
      <c r="L6">
        <f>K6+100</f>
        <v>19900</v>
      </c>
      <c r="M6">
        <v>31600</v>
      </c>
      <c r="N6">
        <f>M6+100</f>
        <v>31700</v>
      </c>
      <c r="O6">
        <v>39900</v>
      </c>
      <c r="P6">
        <f>O6+100</f>
        <v>40000</v>
      </c>
      <c r="Q6">
        <v>49700</v>
      </c>
      <c r="R6">
        <f>Q6+100</f>
        <v>49800</v>
      </c>
      <c r="S6">
        <v>64500</v>
      </c>
      <c r="T6">
        <f>S6+100</f>
        <v>64600</v>
      </c>
      <c r="U6">
        <v>113800</v>
      </c>
      <c r="V6">
        <f>U6+100</f>
        <v>113900</v>
      </c>
    </row>
    <row r="7" spans="1:22" x14ac:dyDescent="0.35">
      <c r="B7" t="s">
        <v>159</v>
      </c>
      <c r="E7" s="60">
        <f>(3/4)*'Toeslagen lineair'!B20</f>
        <v>0.10842214698311568</v>
      </c>
      <c r="F7" s="60"/>
      <c r="G7" s="60">
        <f>'Toeslagen lineair'!B20</f>
        <v>0.14456286264415424</v>
      </c>
      <c r="H7" s="60"/>
      <c r="I7" s="60">
        <f>G7</f>
        <v>0.14456286264415424</v>
      </c>
      <c r="J7" s="60"/>
      <c r="K7" s="60">
        <f>G7</f>
        <v>0.14456286264415424</v>
      </c>
      <c r="L7" s="60"/>
      <c r="M7" s="60"/>
      <c r="N7" s="60"/>
      <c r="O7" s="60"/>
      <c r="P7" s="60"/>
      <c r="Q7" s="60"/>
      <c r="R7" s="60"/>
      <c r="S7" s="60"/>
      <c r="T7" s="60"/>
      <c r="U7" s="60"/>
      <c r="V7" s="60"/>
    </row>
    <row r="8" spans="1:22" x14ac:dyDescent="0.35">
      <c r="B8" t="s">
        <v>160</v>
      </c>
      <c r="E8" s="60">
        <f>(3/4)*'Toeslagen lineair'!B37</f>
        <v>4.115449405407208E-2</v>
      </c>
      <c r="F8" s="60"/>
      <c r="G8" s="60">
        <f>'Toeslagen lineair'!B37</f>
        <v>5.4872658738762778E-2</v>
      </c>
      <c r="H8" s="60"/>
      <c r="I8" s="60">
        <f t="shared" ref="I8:I9" si="0">G8</f>
        <v>5.4872658738762778E-2</v>
      </c>
      <c r="J8" s="60"/>
      <c r="K8" s="60">
        <f t="shared" ref="K8:K9" si="1">G8</f>
        <v>5.4872658738762778E-2</v>
      </c>
      <c r="L8" s="60"/>
      <c r="M8" s="60"/>
      <c r="N8" s="60"/>
      <c r="O8" s="60"/>
      <c r="P8" s="60"/>
      <c r="Q8" s="60"/>
      <c r="R8" s="60"/>
      <c r="S8" s="60"/>
      <c r="T8" s="60"/>
      <c r="U8" s="60"/>
      <c r="V8" s="60"/>
    </row>
    <row r="9" spans="1:22" x14ac:dyDescent="0.35">
      <c r="B9" t="s">
        <v>209</v>
      </c>
      <c r="E9" s="60">
        <f>(3/4)*G9</f>
        <v>3.7500000000000006E-2</v>
      </c>
      <c r="F9" s="60"/>
      <c r="G9" s="60">
        <v>0.05</v>
      </c>
      <c r="H9" s="60"/>
      <c r="I9" s="60">
        <f t="shared" si="0"/>
        <v>0.05</v>
      </c>
      <c r="J9" s="60"/>
      <c r="K9" s="60">
        <f t="shared" si="1"/>
        <v>0.05</v>
      </c>
      <c r="L9" s="60"/>
      <c r="M9" s="60"/>
      <c r="N9" s="60"/>
      <c r="O9" s="60"/>
      <c r="P9" s="60"/>
      <c r="Q9" s="60"/>
      <c r="R9" s="60"/>
      <c r="S9" s="60"/>
      <c r="T9" s="60"/>
      <c r="U9" s="60"/>
      <c r="V9" s="60"/>
    </row>
    <row r="10" spans="1:22" x14ac:dyDescent="0.35">
      <c r="B10" t="s">
        <v>210</v>
      </c>
      <c r="E10" s="60">
        <f t="shared" ref="E10" si="2">SUM(E7:E9)</f>
        <v>0.18707664103718777</v>
      </c>
      <c r="F10" s="60"/>
      <c r="G10" s="60">
        <f>SUM(G7:G9)</f>
        <v>0.24943552138291702</v>
      </c>
      <c r="H10" s="60"/>
      <c r="I10" s="60">
        <f t="shared" ref="I10:K10" si="3">SUM(I7:I9)</f>
        <v>0.24943552138291702</v>
      </c>
      <c r="J10" s="60"/>
      <c r="K10" s="60">
        <f t="shared" si="3"/>
        <v>0.24943552138291702</v>
      </c>
      <c r="L10" s="60"/>
      <c r="M10" s="60"/>
      <c r="N10" s="60"/>
      <c r="O10" s="60"/>
      <c r="P10" s="60"/>
      <c r="Q10" s="60"/>
      <c r="R10" s="60"/>
      <c r="S10" s="60"/>
      <c r="T10" s="60"/>
      <c r="U10" s="60"/>
      <c r="V10" s="60"/>
    </row>
    <row r="12" spans="1:22" x14ac:dyDescent="0.35">
      <c r="B12" t="s">
        <v>162</v>
      </c>
      <c r="C12" s="4">
        <v>2400</v>
      </c>
      <c r="D12" s="4">
        <f>C12+100</f>
        <v>2500</v>
      </c>
      <c r="E12" s="4">
        <v>9500</v>
      </c>
      <c r="F12" s="4">
        <f>E12+100</f>
        <v>9600</v>
      </c>
      <c r="G12" s="4">
        <v>14400</v>
      </c>
      <c r="H12" s="4">
        <f>G12+100</f>
        <v>14500</v>
      </c>
      <c r="I12" s="4">
        <v>18700</v>
      </c>
      <c r="J12" s="4">
        <f>I12+100</f>
        <v>18800</v>
      </c>
      <c r="K12" s="4">
        <f>J12+1000</f>
        <v>19800</v>
      </c>
      <c r="L12" s="4">
        <f>K12+100</f>
        <v>19900</v>
      </c>
      <c r="M12" s="4">
        <v>31600</v>
      </c>
      <c r="N12" s="4">
        <f>M12+100</f>
        <v>31700</v>
      </c>
      <c r="O12" s="36">
        <v>39900</v>
      </c>
      <c r="P12" s="4">
        <f>O12+100</f>
        <v>40000</v>
      </c>
      <c r="Q12" s="4">
        <v>49700</v>
      </c>
      <c r="R12" s="4">
        <f>Q12+100</f>
        <v>49800</v>
      </c>
      <c r="S12" s="4">
        <v>64500</v>
      </c>
      <c r="T12" s="4">
        <f>S12+100</f>
        <v>64600</v>
      </c>
      <c r="U12" s="4">
        <v>113800</v>
      </c>
      <c r="V12" s="4">
        <f>U12+100</f>
        <v>113900</v>
      </c>
    </row>
    <row r="13" spans="1:22" x14ac:dyDescent="0.35">
      <c r="B13" t="s">
        <v>22</v>
      </c>
      <c r="C13" s="4"/>
      <c r="E13" s="4"/>
      <c r="G13" s="4"/>
      <c r="I13" s="4"/>
      <c r="K13" s="4"/>
      <c r="M13" s="4"/>
      <c r="O13" s="4"/>
      <c r="Q13" s="4"/>
      <c r="S13" s="4"/>
      <c r="U13" s="4"/>
    </row>
    <row r="14" spans="1:22" x14ac:dyDescent="0.35">
      <c r="B14" t="s">
        <v>154</v>
      </c>
      <c r="C14" s="4">
        <f>IF(C12&lt;68508,37.1%*C12,(37.1%*68508+(C12-68508)*49.5%))</f>
        <v>890.4</v>
      </c>
      <c r="D14" s="4">
        <f t="shared" ref="D14:V14" si="4">IF(D12&lt;68508,37.1%*D12,(37.1%*68508+(D12-68508)*49.5%))</f>
        <v>927.5</v>
      </c>
      <c r="E14" s="4">
        <f t="shared" si="4"/>
        <v>3524.5</v>
      </c>
      <c r="F14" s="4">
        <f t="shared" si="4"/>
        <v>3561.6</v>
      </c>
      <c r="G14" s="4">
        <f t="shared" si="4"/>
        <v>5342.4</v>
      </c>
      <c r="H14" s="4">
        <f t="shared" si="4"/>
        <v>5379.5</v>
      </c>
      <c r="I14" s="4">
        <f t="shared" si="4"/>
        <v>6937.7</v>
      </c>
      <c r="J14" s="4">
        <f t="shared" si="4"/>
        <v>6974.8</v>
      </c>
      <c r="K14" s="4">
        <f t="shared" si="4"/>
        <v>7345.8</v>
      </c>
      <c r="L14" s="4">
        <f t="shared" si="4"/>
        <v>7382.9</v>
      </c>
      <c r="M14" s="4">
        <f t="shared" si="4"/>
        <v>11723.6</v>
      </c>
      <c r="N14" s="4">
        <f t="shared" si="4"/>
        <v>11760.7</v>
      </c>
      <c r="O14" s="4">
        <f t="shared" si="4"/>
        <v>14802.9</v>
      </c>
      <c r="P14" s="4">
        <f t="shared" si="4"/>
        <v>14840</v>
      </c>
      <c r="Q14" s="4">
        <f t="shared" si="4"/>
        <v>18438.7</v>
      </c>
      <c r="R14" s="4">
        <f t="shared" si="4"/>
        <v>18475.8</v>
      </c>
      <c r="S14" s="4">
        <f t="shared" si="4"/>
        <v>23929.5</v>
      </c>
      <c r="T14" s="4">
        <f t="shared" si="4"/>
        <v>23966.6</v>
      </c>
      <c r="U14" s="4">
        <f t="shared" si="4"/>
        <v>47836.008000000002</v>
      </c>
      <c r="V14" s="4">
        <f t="shared" si="4"/>
        <v>47885.508000000002</v>
      </c>
    </row>
    <row r="15" spans="1:22" x14ac:dyDescent="0.35">
      <c r="B15" t="s">
        <v>21</v>
      </c>
      <c r="C15" s="4">
        <f t="shared" ref="C15:D15" si="5">IF(C12&lt;20711,2711,IF(C12&lt;68507,(2711-0.05672*(C12-20711)),0))</f>
        <v>2711</v>
      </c>
      <c r="D15" s="4">
        <f t="shared" si="5"/>
        <v>2711</v>
      </c>
      <c r="E15" s="4">
        <f t="shared" ref="E15:V15" si="6">IF(E12&lt;20711,2711,IF(E12&lt;68507,(2711-0.05672*(E12-20711)),0))</f>
        <v>2711</v>
      </c>
      <c r="F15" s="4">
        <f t="shared" si="6"/>
        <v>2711</v>
      </c>
      <c r="G15" s="4">
        <f t="shared" si="6"/>
        <v>2711</v>
      </c>
      <c r="H15" s="4">
        <f t="shared" si="6"/>
        <v>2711</v>
      </c>
      <c r="I15" s="4">
        <f t="shared" si="6"/>
        <v>2711</v>
      </c>
      <c r="J15" s="4">
        <f t="shared" si="6"/>
        <v>2711</v>
      </c>
      <c r="K15" s="4">
        <f t="shared" si="6"/>
        <v>2711</v>
      </c>
      <c r="L15" s="4">
        <f t="shared" si="6"/>
        <v>2711</v>
      </c>
      <c r="M15" s="4">
        <f t="shared" si="6"/>
        <v>2093.37592</v>
      </c>
      <c r="N15" s="4">
        <f t="shared" si="6"/>
        <v>2087.7039199999999</v>
      </c>
      <c r="O15" s="4">
        <f t="shared" si="6"/>
        <v>1622.5999200000001</v>
      </c>
      <c r="P15" s="4">
        <f t="shared" si="6"/>
        <v>1616.9279200000001</v>
      </c>
      <c r="Q15" s="4">
        <f t="shared" si="6"/>
        <v>1066.7439200000001</v>
      </c>
      <c r="R15" s="4">
        <f t="shared" si="6"/>
        <v>1061.0719200000001</v>
      </c>
      <c r="S15" s="4">
        <f t="shared" si="6"/>
        <v>227.28792000000021</v>
      </c>
      <c r="T15" s="4">
        <f t="shared" si="6"/>
        <v>221.61592000000019</v>
      </c>
      <c r="U15" s="4">
        <f t="shared" si="6"/>
        <v>0</v>
      </c>
      <c r="V15" s="4">
        <f t="shared" si="6"/>
        <v>0</v>
      </c>
    </row>
    <row r="16" spans="1:22" x14ac:dyDescent="0.35">
      <c r="B16" t="s">
        <v>23</v>
      </c>
      <c r="C16" s="4">
        <f t="shared" ref="C16:D16" si="7">IF(C12&lt;9921,0.02812*C12,IF(C12&lt;21430,279+0.28812*(C12-9921),IF(C12&lt;34954,3595+0.01656*(C12-21430),IF(C12&lt;98604,3819-0.06*(C12-34954),0))))</f>
        <v>67.488</v>
      </c>
      <c r="D16" s="4">
        <f t="shared" si="7"/>
        <v>70.3</v>
      </c>
      <c r="E16" s="4">
        <f t="shared" ref="E16:V16" si="8">IF(E12&lt;9921,0.02812*E12,IF(E12&lt;21430,279+0.28812*(E12-9921),IF(E12&lt;34954,3595+0.01656*(E12-21430),IF(E12&lt;98604,3819-0.06*(E12-34954),0))))</f>
        <v>267.14</v>
      </c>
      <c r="F16" s="4">
        <f t="shared" si="8"/>
        <v>269.952</v>
      </c>
      <c r="G16" s="4">
        <f t="shared" si="8"/>
        <v>1569.48948</v>
      </c>
      <c r="H16" s="4">
        <f t="shared" si="8"/>
        <v>1598.3014799999999</v>
      </c>
      <c r="I16" s="4">
        <f t="shared" si="8"/>
        <v>2808.4054799999999</v>
      </c>
      <c r="J16" s="4">
        <f t="shared" si="8"/>
        <v>2837.2174799999998</v>
      </c>
      <c r="K16" s="4">
        <f t="shared" si="8"/>
        <v>3125.3374799999997</v>
      </c>
      <c r="L16" s="4">
        <f t="shared" si="8"/>
        <v>3154.14948</v>
      </c>
      <c r="M16" s="4">
        <f t="shared" si="8"/>
        <v>3763.4151999999999</v>
      </c>
      <c r="N16" s="4">
        <f t="shared" si="8"/>
        <v>3765.0711999999999</v>
      </c>
      <c r="O16" s="4">
        <f t="shared" si="8"/>
        <v>3522.24</v>
      </c>
      <c r="P16" s="4">
        <f t="shared" si="8"/>
        <v>3516.24</v>
      </c>
      <c r="Q16" s="4">
        <f t="shared" si="8"/>
        <v>2934.24</v>
      </c>
      <c r="R16" s="4">
        <f t="shared" si="8"/>
        <v>2928.24</v>
      </c>
      <c r="S16" s="4">
        <f t="shared" si="8"/>
        <v>2046.24</v>
      </c>
      <c r="T16" s="4">
        <f t="shared" si="8"/>
        <v>2040.24</v>
      </c>
      <c r="U16" s="4">
        <f t="shared" si="8"/>
        <v>0</v>
      </c>
      <c r="V16" s="4">
        <f t="shared" si="8"/>
        <v>0</v>
      </c>
    </row>
    <row r="17" spans="1:22" x14ac:dyDescent="0.35">
      <c r="B17" t="s">
        <v>24</v>
      </c>
      <c r="C17" s="4">
        <f>IF(C14-C15-C16&lt;0,0,C14-C15-C16)</f>
        <v>0</v>
      </c>
      <c r="D17" s="4">
        <f>IF(D14-D15-D16&lt;0,0,D14-D15-D16)</f>
        <v>0</v>
      </c>
      <c r="E17" s="4">
        <f t="shared" ref="E17" si="9">IF(E14-E15-E16&lt;0,0,E14-E15-E16)</f>
        <v>546.36</v>
      </c>
      <c r="F17" s="4">
        <f t="shared" ref="F17" si="10">IF(F14-F15-F16&lt;0,0,F14-F15-F16)</f>
        <v>580.64799999999991</v>
      </c>
      <c r="G17" s="4">
        <f t="shared" ref="G17:V17" si="11">IF(G14-G15-G16&lt;0,0,G14-G15-G16)</f>
        <v>1061.9105199999997</v>
      </c>
      <c r="H17" s="4">
        <f t="shared" si="11"/>
        <v>1070.1985200000001</v>
      </c>
      <c r="I17" s="4">
        <f t="shared" si="11"/>
        <v>1418.2945199999999</v>
      </c>
      <c r="J17" s="4">
        <f t="shared" si="11"/>
        <v>1426.5825200000004</v>
      </c>
      <c r="K17" s="4">
        <f t="shared" si="11"/>
        <v>1509.4625200000005</v>
      </c>
      <c r="L17" s="4">
        <f t="shared" si="11"/>
        <v>1517.7505199999996</v>
      </c>
      <c r="M17" s="4">
        <f t="shared" si="11"/>
        <v>5866.8088800000005</v>
      </c>
      <c r="N17" s="4">
        <f t="shared" si="11"/>
        <v>5907.9248800000005</v>
      </c>
      <c r="O17" s="4">
        <f t="shared" si="11"/>
        <v>9658.0600799999993</v>
      </c>
      <c r="P17" s="4">
        <f t="shared" si="11"/>
        <v>9706.8320800000001</v>
      </c>
      <c r="Q17" s="4">
        <f t="shared" si="11"/>
        <v>14437.71608</v>
      </c>
      <c r="R17" s="4">
        <f t="shared" si="11"/>
        <v>14486.488080000001</v>
      </c>
      <c r="S17" s="4">
        <f t="shared" si="11"/>
        <v>21655.97208</v>
      </c>
      <c r="T17" s="4">
        <f t="shared" si="11"/>
        <v>21704.744079999997</v>
      </c>
      <c r="U17" s="4">
        <f t="shared" si="11"/>
        <v>47836.008000000002</v>
      </c>
      <c r="V17" s="4">
        <f t="shared" si="11"/>
        <v>47885.508000000002</v>
      </c>
    </row>
    <row r="18" spans="1:22" s="43" customFormat="1" x14ac:dyDescent="0.35">
      <c r="B18" s="43" t="s">
        <v>197</v>
      </c>
      <c r="C18" s="44"/>
      <c r="D18" s="44"/>
      <c r="E18" s="44">
        <f>F17-E17</f>
        <v>34.287999999999897</v>
      </c>
      <c r="F18" s="44"/>
      <c r="G18" s="44">
        <f>H17-G17</f>
        <v>8.2880000000004657</v>
      </c>
      <c r="H18" s="44"/>
      <c r="I18" s="44">
        <f>J17-I17</f>
        <v>8.2880000000004657</v>
      </c>
      <c r="J18" s="44"/>
      <c r="K18" s="44">
        <f>L17-K17</f>
        <v>8.2879999999991014</v>
      </c>
      <c r="L18" s="44"/>
      <c r="M18" s="44">
        <f>N17-M17</f>
        <v>41.115999999999985</v>
      </c>
      <c r="N18" s="44"/>
      <c r="O18" s="44">
        <f>P17-O17</f>
        <v>48.772000000000844</v>
      </c>
      <c r="P18" s="44"/>
      <c r="Q18" s="44">
        <f>R17-Q17</f>
        <v>48.772000000000844</v>
      </c>
      <c r="R18" s="44"/>
      <c r="S18" s="44">
        <f>T17-S17</f>
        <v>48.771999999997206</v>
      </c>
      <c r="T18" s="44"/>
      <c r="U18" s="44">
        <f>V17-U17</f>
        <v>49.5</v>
      </c>
      <c r="V18" s="44"/>
    </row>
    <row r="19" spans="1:22" x14ac:dyDescent="0.35">
      <c r="B19" t="s">
        <v>188</v>
      </c>
      <c r="C19" s="4"/>
      <c r="D19" s="4"/>
      <c r="E19" s="4">
        <f>E10*100</f>
        <v>18.707664103718777</v>
      </c>
      <c r="F19" s="4"/>
      <c r="G19" s="4">
        <f t="shared" ref="G19:K19" si="12">G10*100</f>
        <v>24.943552138291704</v>
      </c>
      <c r="H19" s="4"/>
      <c r="I19" s="4">
        <f t="shared" si="12"/>
        <v>24.943552138291704</v>
      </c>
      <c r="J19" s="4"/>
      <c r="K19" s="4">
        <f t="shared" si="12"/>
        <v>24.943552138291704</v>
      </c>
      <c r="L19" s="4"/>
      <c r="M19" s="4"/>
      <c r="N19" s="4"/>
      <c r="O19" s="4"/>
      <c r="P19" s="4"/>
      <c r="Q19" s="4"/>
      <c r="R19" s="4"/>
      <c r="S19" s="4"/>
      <c r="T19" s="4"/>
      <c r="U19" s="4"/>
      <c r="V19" s="4"/>
    </row>
    <row r="20" spans="1:22" x14ac:dyDescent="0.35">
      <c r="B20" t="s">
        <v>161</v>
      </c>
      <c r="C20" s="4"/>
      <c r="E20" s="4"/>
      <c r="G20" s="4"/>
      <c r="I20" s="4"/>
      <c r="K20" s="4"/>
      <c r="M20" s="4"/>
      <c r="O20" s="4"/>
      <c r="Q20" s="4"/>
      <c r="S20" s="4"/>
      <c r="U20" s="4"/>
    </row>
    <row r="21" spans="1:22" x14ac:dyDescent="0.35">
      <c r="B21" s="8" t="s">
        <v>189</v>
      </c>
      <c r="C21" s="42">
        <f>D17-C17</f>
        <v>0</v>
      </c>
      <c r="D21" s="42"/>
      <c r="E21" s="42">
        <f t="shared" ref="E21:U21" si="13">F17-E17</f>
        <v>34.287999999999897</v>
      </c>
      <c r="F21" s="42"/>
      <c r="G21" s="42">
        <f>H17-G17+G19</f>
        <v>33.231552138292173</v>
      </c>
      <c r="H21" s="42"/>
      <c r="I21" s="42">
        <f t="shared" ref="I21:K21" si="14">J17-I17+I19</f>
        <v>33.231552138292173</v>
      </c>
      <c r="J21" s="42"/>
      <c r="K21" s="42">
        <f t="shared" si="14"/>
        <v>33.231552138290809</v>
      </c>
      <c r="L21" s="42"/>
      <c r="M21" s="42">
        <f t="shared" si="13"/>
        <v>41.115999999999985</v>
      </c>
      <c r="N21" s="42"/>
      <c r="O21" s="42">
        <f t="shared" si="13"/>
        <v>48.772000000000844</v>
      </c>
      <c r="P21" s="42"/>
      <c r="Q21" s="42">
        <f t="shared" si="13"/>
        <v>48.772000000000844</v>
      </c>
      <c r="R21" s="42"/>
      <c r="S21" s="42">
        <f t="shared" si="13"/>
        <v>48.771999999997206</v>
      </c>
      <c r="T21" s="42"/>
      <c r="U21" s="42">
        <f t="shared" si="13"/>
        <v>49.5</v>
      </c>
      <c r="V21" s="42"/>
    </row>
    <row r="23" spans="1:22" x14ac:dyDescent="0.35">
      <c r="A23" t="s">
        <v>156</v>
      </c>
      <c r="C23" s="4">
        <f>C12</f>
        <v>2400</v>
      </c>
      <c r="D23" s="4">
        <f t="shared" ref="D23:V23" si="15">D12</f>
        <v>2500</v>
      </c>
      <c r="E23" s="4">
        <f t="shared" si="15"/>
        <v>9500</v>
      </c>
      <c r="F23" s="4">
        <f t="shared" si="15"/>
        <v>9600</v>
      </c>
      <c r="G23" s="4">
        <f t="shared" si="15"/>
        <v>14400</v>
      </c>
      <c r="H23" s="4">
        <f t="shared" si="15"/>
        <v>14500</v>
      </c>
      <c r="I23" s="4">
        <f t="shared" si="15"/>
        <v>18700</v>
      </c>
      <c r="J23" s="4">
        <f t="shared" si="15"/>
        <v>18800</v>
      </c>
      <c r="K23" s="4">
        <f t="shared" si="15"/>
        <v>19800</v>
      </c>
      <c r="L23" s="4">
        <f t="shared" si="15"/>
        <v>19900</v>
      </c>
      <c r="M23" s="4">
        <f t="shared" si="15"/>
        <v>31600</v>
      </c>
      <c r="N23" s="4">
        <f t="shared" si="15"/>
        <v>31700</v>
      </c>
      <c r="O23" s="4">
        <f t="shared" si="15"/>
        <v>39900</v>
      </c>
      <c r="P23" s="4">
        <f t="shared" si="15"/>
        <v>40000</v>
      </c>
      <c r="Q23" s="4">
        <f t="shared" si="15"/>
        <v>49700</v>
      </c>
      <c r="R23" s="4">
        <f t="shared" si="15"/>
        <v>49800</v>
      </c>
      <c r="S23" s="4">
        <f t="shared" si="15"/>
        <v>64500</v>
      </c>
      <c r="T23" s="4">
        <f t="shared" si="15"/>
        <v>64600</v>
      </c>
      <c r="U23" s="4">
        <f t="shared" si="15"/>
        <v>113800</v>
      </c>
      <c r="V23" s="4">
        <f t="shared" si="15"/>
        <v>113900</v>
      </c>
    </row>
    <row r="25" spans="1:22" x14ac:dyDescent="0.35">
      <c r="B25" t="s">
        <v>157</v>
      </c>
      <c r="C25" s="4">
        <f>IF(C23&lt;68508,52.7%*C23,(52.7%*68508+(C23-68508)*70.4%))</f>
        <v>1264.8</v>
      </c>
      <c r="D25" s="4">
        <f t="shared" ref="D25:V25" si="16">IF(D23&lt;68508,52.7%*D23,(52.7%*68508+(D23-68508)*70.4%))</f>
        <v>1317.5</v>
      </c>
      <c r="E25" s="4">
        <f t="shared" si="16"/>
        <v>5006.5</v>
      </c>
      <c r="F25" s="4">
        <f t="shared" si="16"/>
        <v>5059.2</v>
      </c>
      <c r="G25" s="4">
        <f t="shared" si="16"/>
        <v>7588.8</v>
      </c>
      <c r="H25" s="4">
        <f t="shared" si="16"/>
        <v>7641.5</v>
      </c>
      <c r="I25" s="4">
        <f t="shared" si="16"/>
        <v>9854.9</v>
      </c>
      <c r="J25" s="4">
        <f t="shared" si="16"/>
        <v>9907.6</v>
      </c>
      <c r="K25" s="4">
        <f t="shared" si="16"/>
        <v>10434.6</v>
      </c>
      <c r="L25" s="4">
        <f t="shared" si="16"/>
        <v>10487.300000000001</v>
      </c>
      <c r="M25" s="4">
        <f t="shared" si="16"/>
        <v>16653.2</v>
      </c>
      <c r="N25" s="4">
        <f t="shared" si="16"/>
        <v>16705.900000000001</v>
      </c>
      <c r="O25" s="4">
        <f t="shared" si="16"/>
        <v>21027.3</v>
      </c>
      <c r="P25" s="4">
        <f t="shared" si="16"/>
        <v>21080</v>
      </c>
      <c r="Q25" s="4">
        <f t="shared" si="16"/>
        <v>26191.9</v>
      </c>
      <c r="R25" s="4">
        <f t="shared" si="16"/>
        <v>26244.600000000002</v>
      </c>
      <c r="S25" s="4">
        <f t="shared" si="16"/>
        <v>33991.5</v>
      </c>
      <c r="T25" s="4">
        <f t="shared" si="16"/>
        <v>34044.200000000004</v>
      </c>
      <c r="U25" s="4">
        <f t="shared" si="16"/>
        <v>67989.284</v>
      </c>
      <c r="V25" s="4">
        <f t="shared" si="16"/>
        <v>68059.684000000008</v>
      </c>
    </row>
    <row r="26" spans="1:22" x14ac:dyDescent="0.35">
      <c r="B26" t="s">
        <v>21</v>
      </c>
      <c r="C26" s="4">
        <f t="shared" ref="C26:V26" si="17">IF(C23&lt;20711,2711,IF(C23&lt;68507,(2711-0.05672*(C23-20711)),0))</f>
        <v>2711</v>
      </c>
      <c r="D26" s="4">
        <f t="shared" si="17"/>
        <v>2711</v>
      </c>
      <c r="E26" s="4">
        <f t="shared" si="17"/>
        <v>2711</v>
      </c>
      <c r="F26" s="4">
        <f t="shared" si="17"/>
        <v>2711</v>
      </c>
      <c r="G26" s="4">
        <f t="shared" si="17"/>
        <v>2711</v>
      </c>
      <c r="H26" s="4">
        <f t="shared" si="17"/>
        <v>2711</v>
      </c>
      <c r="I26" s="4">
        <f t="shared" si="17"/>
        <v>2711</v>
      </c>
      <c r="J26" s="4">
        <f t="shared" si="17"/>
        <v>2711</v>
      </c>
      <c r="K26" s="4">
        <f t="shared" si="17"/>
        <v>2711</v>
      </c>
      <c r="L26" s="4">
        <f t="shared" si="17"/>
        <v>2711</v>
      </c>
      <c r="M26" s="4">
        <f t="shared" si="17"/>
        <v>2093.37592</v>
      </c>
      <c r="N26" s="4">
        <f t="shared" si="17"/>
        <v>2087.7039199999999</v>
      </c>
      <c r="O26" s="4">
        <f t="shared" si="17"/>
        <v>1622.5999200000001</v>
      </c>
      <c r="P26" s="4">
        <f t="shared" si="17"/>
        <v>1616.9279200000001</v>
      </c>
      <c r="Q26" s="4">
        <f t="shared" si="17"/>
        <v>1066.7439200000001</v>
      </c>
      <c r="R26" s="4">
        <f t="shared" si="17"/>
        <v>1061.0719200000001</v>
      </c>
      <c r="S26" s="4">
        <f t="shared" si="17"/>
        <v>227.28792000000021</v>
      </c>
      <c r="T26" s="4">
        <f t="shared" si="17"/>
        <v>221.61592000000019</v>
      </c>
      <c r="U26" s="4">
        <f t="shared" si="17"/>
        <v>0</v>
      </c>
      <c r="V26" s="4">
        <f t="shared" si="17"/>
        <v>0</v>
      </c>
    </row>
    <row r="27" spans="1:22" x14ac:dyDescent="0.35">
      <c r="B27" t="s">
        <v>23</v>
      </c>
      <c r="C27" s="4">
        <f t="shared" ref="C27:V27" si="18">IF(C23&lt;9921,0.02812*C23,IF(C23&lt;21430,279+0.28812*(C23-9921),IF(C23&lt;34954,3595+0.01656*(C23-21430),IF(C23&lt;98604,3819-0.06*(C23-34954),0))))</f>
        <v>67.488</v>
      </c>
      <c r="D27" s="4">
        <f t="shared" si="18"/>
        <v>70.3</v>
      </c>
      <c r="E27" s="4">
        <f t="shared" si="18"/>
        <v>267.14</v>
      </c>
      <c r="F27" s="4">
        <f t="shared" si="18"/>
        <v>269.952</v>
      </c>
      <c r="G27" s="4">
        <f t="shared" si="18"/>
        <v>1569.48948</v>
      </c>
      <c r="H27" s="4">
        <f t="shared" si="18"/>
        <v>1598.3014799999999</v>
      </c>
      <c r="I27" s="4">
        <f t="shared" si="18"/>
        <v>2808.4054799999999</v>
      </c>
      <c r="J27" s="4">
        <f t="shared" si="18"/>
        <v>2837.2174799999998</v>
      </c>
      <c r="K27" s="4">
        <f t="shared" si="18"/>
        <v>3125.3374799999997</v>
      </c>
      <c r="L27" s="4">
        <f t="shared" si="18"/>
        <v>3154.14948</v>
      </c>
      <c r="M27" s="4">
        <f t="shared" si="18"/>
        <v>3763.4151999999999</v>
      </c>
      <c r="N27" s="4">
        <f t="shared" si="18"/>
        <v>3765.0711999999999</v>
      </c>
      <c r="O27" s="4">
        <f t="shared" si="18"/>
        <v>3522.24</v>
      </c>
      <c r="P27" s="4">
        <f t="shared" si="18"/>
        <v>3516.24</v>
      </c>
      <c r="Q27" s="4">
        <f t="shared" si="18"/>
        <v>2934.24</v>
      </c>
      <c r="R27" s="4">
        <f t="shared" si="18"/>
        <v>2928.24</v>
      </c>
      <c r="S27" s="4">
        <f t="shared" si="18"/>
        <v>2046.24</v>
      </c>
      <c r="T27" s="4">
        <f t="shared" si="18"/>
        <v>2040.24</v>
      </c>
      <c r="U27" s="4">
        <f t="shared" si="18"/>
        <v>0</v>
      </c>
      <c r="V27" s="4">
        <f t="shared" si="18"/>
        <v>0</v>
      </c>
    </row>
    <row r="28" spans="1:22" x14ac:dyDescent="0.35">
      <c r="B28" t="s">
        <v>24</v>
      </c>
      <c r="C28" s="4">
        <f>IF(C25-C26-C27&lt;0,0,C25-C26-C27)</f>
        <v>0</v>
      </c>
      <c r="D28" s="4">
        <f t="shared" ref="D28:V28" si="19">IF(D25-D26-D27&lt;0,0,D25-D26-D27)</f>
        <v>0</v>
      </c>
      <c r="E28" s="4">
        <f t="shared" si="19"/>
        <v>2028.3600000000001</v>
      </c>
      <c r="F28" s="4">
        <f t="shared" si="19"/>
        <v>2078.2479999999996</v>
      </c>
      <c r="G28" s="4">
        <f t="shared" si="19"/>
        <v>3308.31052</v>
      </c>
      <c r="H28" s="4">
        <f t="shared" si="19"/>
        <v>3332.1985199999999</v>
      </c>
      <c r="I28" s="4">
        <f t="shared" si="19"/>
        <v>4335.4945200000002</v>
      </c>
      <c r="J28" s="4">
        <f t="shared" si="19"/>
        <v>4359.382520000001</v>
      </c>
      <c r="K28" s="4">
        <f t="shared" si="19"/>
        <v>4598.2625200000002</v>
      </c>
      <c r="L28" s="4">
        <f t="shared" si="19"/>
        <v>4622.1505200000011</v>
      </c>
      <c r="M28" s="4">
        <f t="shared" si="19"/>
        <v>10796.408880000001</v>
      </c>
      <c r="N28" s="4">
        <f t="shared" si="19"/>
        <v>10853.124880000001</v>
      </c>
      <c r="O28" s="4">
        <f t="shared" si="19"/>
        <v>15882.460079999999</v>
      </c>
      <c r="P28" s="4">
        <f t="shared" si="19"/>
        <v>15946.832079999998</v>
      </c>
      <c r="Q28" s="4">
        <f t="shared" si="19"/>
        <v>22190.916080000003</v>
      </c>
      <c r="R28" s="4">
        <f t="shared" si="19"/>
        <v>22255.288080000006</v>
      </c>
      <c r="S28" s="4">
        <f t="shared" si="19"/>
        <v>31717.972079999996</v>
      </c>
      <c r="T28" s="4">
        <f t="shared" si="19"/>
        <v>31782.344079999999</v>
      </c>
      <c r="U28" s="4">
        <f t="shared" si="19"/>
        <v>67989.284</v>
      </c>
      <c r="V28" s="4">
        <f t="shared" si="19"/>
        <v>68059.684000000008</v>
      </c>
    </row>
    <row r="29" spans="1:22" x14ac:dyDescent="0.35">
      <c r="B29" t="str">
        <f>$B$18</f>
        <v>Marginale IB op arbeidsinkomen</v>
      </c>
      <c r="C29" s="58">
        <f>D28-C28</f>
        <v>0</v>
      </c>
      <c r="D29" s="58"/>
      <c r="E29" s="58">
        <f>F28-E28</f>
        <v>49.887999999999465</v>
      </c>
      <c r="F29" s="58"/>
      <c r="G29" s="58">
        <f>H28-G28+G19</f>
        <v>48.831552138291627</v>
      </c>
      <c r="H29" s="58"/>
      <c r="I29" s="58">
        <f>J28-I28+I19</f>
        <v>48.831552138292537</v>
      </c>
      <c r="J29" s="58"/>
      <c r="K29" s="58">
        <f>L28-K28+K19</f>
        <v>48.831552138292537</v>
      </c>
      <c r="L29" s="58"/>
      <c r="M29" s="58">
        <f>N28-M28</f>
        <v>56.716000000000349</v>
      </c>
      <c r="N29" s="58"/>
      <c r="O29" s="58">
        <f>P28-O28</f>
        <v>64.371999999999389</v>
      </c>
      <c r="P29" s="58"/>
      <c r="Q29" s="58">
        <f>R28-Q28</f>
        <v>64.372000000003027</v>
      </c>
      <c r="R29" s="58"/>
      <c r="S29" s="58">
        <f>T28-S28</f>
        <v>64.372000000003027</v>
      </c>
      <c r="T29" s="58"/>
      <c r="U29" s="58">
        <f>V28-U28</f>
        <v>70.400000000008731</v>
      </c>
    </row>
    <row r="30" spans="1:22" x14ac:dyDescent="0.35">
      <c r="B30" t="s">
        <v>188</v>
      </c>
      <c r="E30" s="4">
        <f>E19</f>
        <v>18.707664103718777</v>
      </c>
      <c r="F30" s="4"/>
      <c r="G30" s="4">
        <f t="shared" ref="G30:K30" si="20">G19</f>
        <v>24.943552138291704</v>
      </c>
      <c r="H30" s="4"/>
      <c r="I30" s="4">
        <f t="shared" si="20"/>
        <v>24.943552138291704</v>
      </c>
      <c r="J30" s="4"/>
      <c r="K30" s="4">
        <f t="shared" si="20"/>
        <v>24.943552138291704</v>
      </c>
      <c r="L30" s="4"/>
      <c r="M30" s="4"/>
      <c r="V30" s="4"/>
    </row>
    <row r="32" spans="1:22" s="8" customFormat="1" x14ac:dyDescent="0.35">
      <c r="B32" s="8" t="s">
        <v>191</v>
      </c>
      <c r="C32" s="42">
        <f>C29+C30</f>
        <v>0</v>
      </c>
      <c r="D32" s="42"/>
      <c r="E32" s="42">
        <f>E29+E30</f>
        <v>68.595664103718235</v>
      </c>
      <c r="F32" s="42"/>
      <c r="G32" s="42">
        <f>G29+G30</f>
        <v>73.775104276583335</v>
      </c>
      <c r="H32" s="42"/>
      <c r="I32" s="42">
        <f>I29+I30</f>
        <v>73.775104276584244</v>
      </c>
      <c r="J32" s="42"/>
      <c r="K32" s="42">
        <f>K29+K30</f>
        <v>73.775104276584244</v>
      </c>
      <c r="L32" s="42"/>
      <c r="M32" s="42">
        <f>M29+M30</f>
        <v>56.716000000000349</v>
      </c>
      <c r="N32" s="42"/>
      <c r="O32" s="42">
        <f>O29+O30</f>
        <v>64.371999999999389</v>
      </c>
      <c r="P32" s="42"/>
      <c r="Q32" s="42">
        <f>Q29+Q30</f>
        <v>64.372000000003027</v>
      </c>
      <c r="R32" s="42"/>
      <c r="S32" s="42">
        <f>S29+S30</f>
        <v>64.372000000003027</v>
      </c>
      <c r="T32" s="42"/>
      <c r="U32" s="42">
        <f>U29+U30</f>
        <v>70.400000000008731</v>
      </c>
    </row>
    <row r="34" spans="1:22" x14ac:dyDescent="0.35">
      <c r="A34" t="s">
        <v>192</v>
      </c>
      <c r="B34" t="s">
        <v>48</v>
      </c>
      <c r="D34">
        <v>12600</v>
      </c>
      <c r="F34">
        <v>20000</v>
      </c>
      <c r="H34">
        <v>36000</v>
      </c>
      <c r="J34">
        <v>65000</v>
      </c>
    </row>
    <row r="35" spans="1:22" x14ac:dyDescent="0.35">
      <c r="B35" t="s">
        <v>49</v>
      </c>
      <c r="C35" s="10">
        <v>0</v>
      </c>
      <c r="E35" s="11">
        <v>0.3</v>
      </c>
      <c r="G35" s="11">
        <v>0.5</v>
      </c>
      <c r="I35" s="11">
        <v>0.7</v>
      </c>
      <c r="K35" s="11">
        <v>0.85</v>
      </c>
    </row>
    <row r="36" spans="1:22" x14ac:dyDescent="0.35">
      <c r="B36" t="s">
        <v>66</v>
      </c>
      <c r="D36" s="4">
        <f>D34*C35</f>
        <v>0</v>
      </c>
      <c r="E36" s="4"/>
      <c r="F36" s="4">
        <f>(F34-D34)*E35+D36</f>
        <v>2220</v>
      </c>
      <c r="H36" s="4">
        <f>F36+(H34-F34)*G35</f>
        <v>10220</v>
      </c>
      <c r="J36" s="4">
        <f>H36+(J34-H34)*I35</f>
        <v>30520</v>
      </c>
    </row>
    <row r="37" spans="1:22" x14ac:dyDescent="0.35">
      <c r="D37" s="4"/>
      <c r="E37" s="4"/>
      <c r="F37" s="4"/>
      <c r="H37" s="4"/>
      <c r="J37" s="4"/>
    </row>
    <row r="38" spans="1:22" x14ac:dyDescent="0.35">
      <c r="B38" t="s">
        <v>22</v>
      </c>
    </row>
    <row r="39" spans="1:22" x14ac:dyDescent="0.35">
      <c r="B39" t="s">
        <v>19</v>
      </c>
      <c r="C39">
        <v>1</v>
      </c>
      <c r="E39">
        <v>2</v>
      </c>
      <c r="G39">
        <v>3</v>
      </c>
      <c r="I39">
        <v>4</v>
      </c>
      <c r="K39">
        <v>5</v>
      </c>
      <c r="M39">
        <v>6</v>
      </c>
      <c r="O39">
        <v>7</v>
      </c>
      <c r="Q39">
        <v>8</v>
      </c>
      <c r="S39">
        <v>9</v>
      </c>
      <c r="U39">
        <v>10</v>
      </c>
    </row>
    <row r="40" spans="1:22" x14ac:dyDescent="0.35">
      <c r="B40" t="str">
        <f>AONI!A101</f>
        <v>Midden deciel + Basisinkomen</v>
      </c>
      <c r="C40" s="4">
        <f>AONI!B101</f>
        <v>3900</v>
      </c>
      <c r="D40" s="4">
        <f>C40+100</f>
        <v>4000</v>
      </c>
      <c r="E40" s="4">
        <f>AONI!C101</f>
        <v>22100</v>
      </c>
      <c r="F40">
        <f>E40+100</f>
        <v>22200</v>
      </c>
      <c r="G40" s="4">
        <f>AONI!D101</f>
        <v>27000</v>
      </c>
      <c r="H40">
        <f>G40+100</f>
        <v>27100</v>
      </c>
      <c r="I40" s="4">
        <f>AONI!E101</f>
        <v>31300</v>
      </c>
      <c r="J40">
        <f>I40+100</f>
        <v>31400</v>
      </c>
      <c r="K40" s="4">
        <f>AONI!F101</f>
        <v>37300</v>
      </c>
      <c r="L40">
        <f>K40+100</f>
        <v>37400</v>
      </c>
      <c r="M40" s="4">
        <f>AONI!G101</f>
        <v>44200</v>
      </c>
      <c r="N40">
        <f>M40+100</f>
        <v>44300</v>
      </c>
      <c r="O40" s="4">
        <f>AONI!H101</f>
        <v>52500</v>
      </c>
      <c r="P40">
        <f>O40+100</f>
        <v>52600</v>
      </c>
      <c r="Q40" s="4">
        <f>AONI!I101</f>
        <v>62300</v>
      </c>
      <c r="R40">
        <f>Q40+100</f>
        <v>62400</v>
      </c>
      <c r="S40" s="4">
        <f>AONI!J101</f>
        <v>77100</v>
      </c>
      <c r="T40">
        <f>S40+100</f>
        <v>77200</v>
      </c>
      <c r="U40" s="4">
        <f>AONI!K101</f>
        <v>126400</v>
      </c>
      <c r="V40">
        <f>U40+100</f>
        <v>126500</v>
      </c>
    </row>
    <row r="41" spans="1:22" x14ac:dyDescent="0.35">
      <c r="B41" t="s">
        <v>50</v>
      </c>
      <c r="C41" s="4">
        <f>IF(C40&lt;$D$34,$C$35*C40,IF(C40&lt;$F$34,(C40-$D$34)*$E$35+$D$34*$C$35,IF(C40&lt;$H$34,(C40-$F$34)*$G$35+($F$34-$D$34)*$E$35+$D$34*$C$35,IF(C40&lt;$J$34,(C40-$H$34)*$I$35+($H$34-$F$34)*$G$35+($F$34-$D$34)*$E$35+$D$34*$C$35,(C40-$J$34)*$K$35+($J$34-$H$34)*$I$35+($H$34-$F$34)*$G$35+($F$34-$D$34)*$E$35+$D$34*$C$35))))</f>
        <v>0</v>
      </c>
      <c r="D41" s="4">
        <f t="shared" ref="D41:V41" si="21">IF(D40&lt;$D$34,$C$35*D40,IF(D40&lt;$F$34,(D40-$D$34)*$E$35+$D$34*$C$35,IF(D40&lt;$H$34,(D40-$F$34)*$G$35+($F$34-$D$34)*$E$35+$D$34*$C$35,IF(D40&lt;$J$34,(D40-$H$34)*$I$35+($H$34-$F$34)*$G$35+($F$34-$D$34)*$E$35+$D$34*$C$35,(D40-$J$34)*$K$35+($J$34-$H$34)*$I$35+($H$34-$F$34)*$G$35+($F$34-$D$34)*$E$35+$D$34*$C$35))))</f>
        <v>0</v>
      </c>
      <c r="E41" s="4">
        <f t="shared" si="21"/>
        <v>3270</v>
      </c>
      <c r="F41" s="4">
        <f t="shared" si="21"/>
        <v>3320</v>
      </c>
      <c r="G41" s="4">
        <f t="shared" si="21"/>
        <v>5720</v>
      </c>
      <c r="H41" s="4">
        <f t="shared" si="21"/>
        <v>5770</v>
      </c>
      <c r="I41" s="4">
        <f t="shared" si="21"/>
        <v>7870</v>
      </c>
      <c r="J41" s="4">
        <f t="shared" si="21"/>
        <v>7920</v>
      </c>
      <c r="K41" s="4">
        <f t="shared" si="21"/>
        <v>11130</v>
      </c>
      <c r="L41" s="4">
        <f t="shared" si="21"/>
        <v>11200</v>
      </c>
      <c r="M41" s="4">
        <f t="shared" si="21"/>
        <v>15960</v>
      </c>
      <c r="N41" s="4">
        <f t="shared" si="21"/>
        <v>16030</v>
      </c>
      <c r="O41" s="4">
        <f t="shared" si="21"/>
        <v>21770</v>
      </c>
      <c r="P41" s="4">
        <f t="shared" si="21"/>
        <v>21840</v>
      </c>
      <c r="Q41" s="4">
        <f t="shared" si="21"/>
        <v>28630</v>
      </c>
      <c r="R41" s="4">
        <f t="shared" si="21"/>
        <v>28700</v>
      </c>
      <c r="S41" s="4">
        <f t="shared" si="21"/>
        <v>40805</v>
      </c>
      <c r="T41" s="4">
        <f t="shared" si="21"/>
        <v>40890</v>
      </c>
      <c r="U41" s="4">
        <f t="shared" si="21"/>
        <v>82710</v>
      </c>
      <c r="V41" s="4">
        <f t="shared" si="21"/>
        <v>82795</v>
      </c>
    </row>
    <row r="43" spans="1:22" s="8" customFormat="1" x14ac:dyDescent="0.35">
      <c r="B43" s="8" t="s">
        <v>191</v>
      </c>
      <c r="C43" s="42">
        <f>D41-C41</f>
        <v>0</v>
      </c>
      <c r="D43" s="42"/>
      <c r="E43" s="42">
        <f t="shared" ref="E43:U43" si="22">F41-E41</f>
        <v>50</v>
      </c>
      <c r="F43" s="42"/>
      <c r="G43" s="42">
        <f t="shared" si="22"/>
        <v>50</v>
      </c>
      <c r="H43" s="42"/>
      <c r="I43" s="42">
        <f t="shared" si="22"/>
        <v>50</v>
      </c>
      <c r="J43" s="42"/>
      <c r="K43" s="42">
        <f t="shared" si="22"/>
        <v>70</v>
      </c>
      <c r="L43" s="42"/>
      <c r="M43" s="42">
        <f t="shared" si="22"/>
        <v>70</v>
      </c>
      <c r="N43" s="42"/>
      <c r="O43" s="42">
        <f t="shared" si="22"/>
        <v>70</v>
      </c>
      <c r="P43" s="42"/>
      <c r="Q43" s="42">
        <f t="shared" si="22"/>
        <v>70</v>
      </c>
      <c r="R43" s="42"/>
      <c r="S43" s="42">
        <f t="shared" si="22"/>
        <v>85</v>
      </c>
      <c r="T43" s="42"/>
      <c r="U43" s="42">
        <f t="shared" si="22"/>
        <v>85</v>
      </c>
      <c r="V43" s="42"/>
    </row>
    <row r="47" spans="1:22" x14ac:dyDescent="0.35">
      <c r="A47" t="s">
        <v>151</v>
      </c>
      <c r="B47" t="e">
        <f>#REF!</f>
        <v>#REF!</v>
      </c>
      <c r="D47" t="e">
        <f>#REF!</f>
        <v>#REF!</v>
      </c>
      <c r="F47" t="e">
        <f>#REF!</f>
        <v>#REF!</v>
      </c>
      <c r="H47" t="e">
        <f>#REF!</f>
        <v>#REF!</v>
      </c>
      <c r="J47" t="e">
        <f>#REF!</f>
        <v>#REF!</v>
      </c>
    </row>
    <row r="48" spans="1:22" x14ac:dyDescent="0.35">
      <c r="B48" t="e">
        <f>#REF!</f>
        <v>#REF!</v>
      </c>
      <c r="C48" s="11">
        <v>0</v>
      </c>
      <c r="E48" s="11" t="e">
        <f>#REF!</f>
        <v>#REF!</v>
      </c>
      <c r="F48" s="11"/>
      <c r="G48" s="11" t="e">
        <f>#REF!</f>
        <v>#REF!</v>
      </c>
      <c r="H48" s="11"/>
      <c r="I48" s="11" t="e">
        <f>#REF!</f>
        <v>#REF!</v>
      </c>
      <c r="J48" s="11"/>
      <c r="K48" s="11" t="e">
        <f>#REF!</f>
        <v>#REF!</v>
      </c>
    </row>
    <row r="49" spans="1:22" x14ac:dyDescent="0.35">
      <c r="B49" t="e">
        <f>#REF!</f>
        <v>#REF!</v>
      </c>
      <c r="F49" t="e">
        <f>#REF!</f>
        <v>#REF!</v>
      </c>
      <c r="H49" t="e">
        <f>#REF!</f>
        <v>#REF!</v>
      </c>
      <c r="J49" t="e">
        <f>#REF!</f>
        <v>#REF!</v>
      </c>
    </row>
    <row r="51" spans="1:22" x14ac:dyDescent="0.35">
      <c r="B51" t="e">
        <f>#REF!</f>
        <v>#REF!</v>
      </c>
    </row>
    <row r="52" spans="1:22" x14ac:dyDescent="0.35">
      <c r="B52" t="e">
        <f>#REF!</f>
        <v>#REF!</v>
      </c>
      <c r="C52" t="e">
        <f>#REF!</f>
        <v>#REF!</v>
      </c>
      <c r="E52" t="e">
        <f>#REF!</f>
        <v>#REF!</v>
      </c>
      <c r="G52" t="e">
        <f>#REF!</f>
        <v>#REF!</v>
      </c>
      <c r="I52" t="e">
        <f>#REF!</f>
        <v>#REF!</v>
      </c>
      <c r="K52" t="e">
        <f>#REF!</f>
        <v>#REF!</v>
      </c>
      <c r="M52" t="e">
        <f>#REF!</f>
        <v>#REF!</v>
      </c>
      <c r="O52" t="e">
        <f>#REF!</f>
        <v>#REF!</v>
      </c>
      <c r="Q52" t="e">
        <f>#REF!</f>
        <v>#REF!</v>
      </c>
      <c r="S52" t="e">
        <f>#REF!</f>
        <v>#REF!</v>
      </c>
      <c r="U52" t="e">
        <f>#REF!</f>
        <v>#REF!</v>
      </c>
    </row>
    <row r="53" spans="1:22" x14ac:dyDescent="0.35">
      <c r="B53" t="e">
        <f>#REF!</f>
        <v>#REF!</v>
      </c>
      <c r="C53" t="e">
        <f>#REF!</f>
        <v>#REF!</v>
      </c>
      <c r="D53" t="e">
        <f>C53+100</f>
        <v>#REF!</v>
      </c>
      <c r="E53" t="e">
        <f>#REF!</f>
        <v>#REF!</v>
      </c>
      <c r="F53">
        <v>22200</v>
      </c>
      <c r="G53" t="e">
        <f>#REF!</f>
        <v>#REF!</v>
      </c>
      <c r="H53">
        <v>27100</v>
      </c>
      <c r="I53" t="e">
        <f>#REF!</f>
        <v>#REF!</v>
      </c>
      <c r="J53">
        <v>31400</v>
      </c>
      <c r="K53" t="e">
        <f>#REF!</f>
        <v>#REF!</v>
      </c>
      <c r="L53">
        <v>37400</v>
      </c>
      <c r="M53" t="e">
        <f>#REF!</f>
        <v>#REF!</v>
      </c>
      <c r="N53">
        <v>44300</v>
      </c>
      <c r="O53" t="e">
        <f>#REF!</f>
        <v>#REF!</v>
      </c>
      <c r="P53">
        <v>52600</v>
      </c>
      <c r="Q53" t="e">
        <f>#REF!</f>
        <v>#REF!</v>
      </c>
      <c r="R53">
        <v>62400</v>
      </c>
      <c r="S53" t="e">
        <f>#REF!</f>
        <v>#REF!</v>
      </c>
      <c r="T53">
        <v>77200</v>
      </c>
      <c r="U53" t="e">
        <f>#REF!</f>
        <v>#REF!</v>
      </c>
      <c r="V53">
        <v>126500</v>
      </c>
    </row>
    <row r="54" spans="1:22" x14ac:dyDescent="0.35">
      <c r="B54" t="e">
        <f>#REF!</f>
        <v>#REF!</v>
      </c>
      <c r="C54" t="e">
        <f>IF(C53&lt;D47,C48*C53,IF(C53&lt;F47,(C53-D47)*E48+D47*C48,IF(C53&lt;H47,(C53-F47)*G48+(F47-D47)*E48+D47*C48,IF(C53&lt;J47,(C53-H47)*I48+(H47-F47)*G48+(F47-D47)*E48+D47*C48,(C53-J47)*K48+(J47-$H$47)*I48+(H47-F47)*G48+(F47-D47)*E48+D47*C48))))</f>
        <v>#REF!</v>
      </c>
      <c r="D54" t="e">
        <f>IF(D53&lt;$D$47,$C$48*D53,IF(D53&lt;$F$47,(D53-$D$47)*$E$48+$D$47*$C$48,IF(D53&lt;$H$47,(D53-$F$47)*$G$48+($F$47-$D$47)*$E$48+$D$47*$C$48,IF(D53&lt;$J$47,(D53-$H$47)*$I$48+($H$47-$F$47)*$G$48+($F$47-$D$47)*$E$48+$D$47*$C$48,(D53-$J$47)*$K$48+($J$47-$H$47)*$I$48+($H$47-$F$47)*$G$48+($F$47-$D$47)*$E$48+$D$47*$C$48))))</f>
        <v>#REF!</v>
      </c>
      <c r="E54" t="e">
        <f t="shared" ref="E54" si="23">IF(E53&lt;$D$47,$C$48*E53,IF(E53&lt;$F$47,(E53-$D$47)*$E$48+$D$47*$C$48,IF(E53&lt;$H$47,(E53-$F$47)*$G$48+($F$47-$D$47)*$E$48+$D$47*$C$48,IF(E53&lt;$J$47,(E53-$H$47)*$I$48+($H$47-$F$47)*$G$48+($F$47-$D$47)*$E$48+$D$47*$C$48,(E53-$J$47)*$K$48+($J$47-$H$47)*$I$48+($H$47-$F$47)*$G$48+($F$47-$D$47)*$E$48+$D$47*$C$48))))</f>
        <v>#REF!</v>
      </c>
      <c r="F54" t="e">
        <f t="shared" ref="F54" si="24">IF(F53&lt;$D$47,$C$48*F53,IF(F53&lt;$F$47,(F53-$D$47)*$E$48+$D$47*$C$48,IF(F53&lt;$H$47,(F53-$F$47)*$G$48+($F$47-$D$47)*$E$48+$D$47*$C$48,IF(F53&lt;$J$47,(F53-$H$47)*$I$48+($H$47-$F$47)*$G$48+($F$47-$D$47)*$E$48+$D$47*$C$48,(F53-$J$47)*$K$48+($J$47-$H$47)*$I$48+($H$47-$F$47)*$G$48+($F$47-$D$47)*$E$48+$D$47*$C$48))))</f>
        <v>#REF!</v>
      </c>
      <c r="G54" t="e">
        <f t="shared" ref="G54" si="25">IF(G53&lt;$D$47,$C$48*G53,IF(G53&lt;$F$47,(G53-$D$47)*$E$48+$D$47*$C$48,IF(G53&lt;$H$47,(G53-$F$47)*$G$48+($F$47-$D$47)*$E$48+$D$47*$C$48,IF(G53&lt;$J$47,(G53-$H$47)*$I$48+($H$47-$F$47)*$G$48+($F$47-$D$47)*$E$48+$D$47*$C$48,(G53-$J$47)*$K$48+($J$47-$H$47)*$I$48+($H$47-$F$47)*$G$48+($F$47-$D$47)*$E$48+$D$47*$C$48))))</f>
        <v>#REF!</v>
      </c>
      <c r="H54" t="e">
        <f t="shared" ref="H54" si="26">IF(H53&lt;$D$47,$C$48*H53,IF(H53&lt;$F$47,(H53-$D$47)*$E$48+$D$47*$C$48,IF(H53&lt;$H$47,(H53-$F$47)*$G$48+($F$47-$D$47)*$E$48+$D$47*$C$48,IF(H53&lt;$J$47,(H53-$H$47)*$I$48+($H$47-$F$47)*$G$48+($F$47-$D$47)*$E$48+$D$47*$C$48,(H53-$J$47)*$K$48+($J$47-$H$47)*$I$48+($H$47-$F$47)*$G$48+($F$47-$D$47)*$E$48+$D$47*$C$48))))</f>
        <v>#REF!</v>
      </c>
      <c r="I54" t="e">
        <f t="shared" ref="I54" si="27">IF(I53&lt;$D$47,$C$48*I53,IF(I53&lt;$F$47,(I53-$D$47)*$E$48+$D$47*$C$48,IF(I53&lt;$H$47,(I53-$F$47)*$G$48+($F$47-$D$47)*$E$48+$D$47*$C$48,IF(I53&lt;$J$47,(I53-$H$47)*$I$48+($H$47-$F$47)*$G$48+($F$47-$D$47)*$E$48+$D$47*$C$48,(I53-$J$47)*$K$48+($J$47-$H$47)*$I$48+($H$47-$F$47)*$G$48+($F$47-$D$47)*$E$48+$D$47*$C$48))))</f>
        <v>#REF!</v>
      </c>
      <c r="J54" t="e">
        <f t="shared" ref="J54" si="28">IF(J53&lt;$D$47,$C$48*J53,IF(J53&lt;$F$47,(J53-$D$47)*$E$48+$D$47*$C$48,IF(J53&lt;$H$47,(J53-$F$47)*$G$48+($F$47-$D$47)*$E$48+$D$47*$C$48,IF(J53&lt;$J$47,(J53-$H$47)*$I$48+($H$47-$F$47)*$G$48+($F$47-$D$47)*$E$48+$D$47*$C$48,(J53-$J$47)*$K$48+($J$47-$H$47)*$I$48+($H$47-$F$47)*$G$48+($F$47-$D$47)*$E$48+$D$47*$C$48))))</f>
        <v>#REF!</v>
      </c>
      <c r="K54" t="e">
        <f t="shared" ref="K54" si="29">IF(K53&lt;$D$47,$C$48*K53,IF(K53&lt;$F$47,(K53-$D$47)*$E$48+$D$47*$C$48,IF(K53&lt;$H$47,(K53-$F$47)*$G$48+($F$47-$D$47)*$E$48+$D$47*$C$48,IF(K53&lt;$J$47,(K53-$H$47)*$I$48+($H$47-$F$47)*$G$48+($F$47-$D$47)*$E$48+$D$47*$C$48,(K53-$J$47)*$K$48+($J$47-$H$47)*$I$48+($H$47-$F$47)*$G$48+($F$47-$D$47)*$E$48+$D$47*$C$48))))</f>
        <v>#REF!</v>
      </c>
      <c r="L54" t="e">
        <f t="shared" ref="L54" si="30">IF(L53&lt;$D$47,$C$48*L53,IF(L53&lt;$F$47,(L53-$D$47)*$E$48+$D$47*$C$48,IF(L53&lt;$H$47,(L53-$F$47)*$G$48+($F$47-$D$47)*$E$48+$D$47*$C$48,IF(L53&lt;$J$47,(L53-$H$47)*$I$48+($H$47-$F$47)*$G$48+($F$47-$D$47)*$E$48+$D$47*$C$48,(L53-$J$47)*$K$48+($J$47-$H$47)*$I$48+($H$47-$F$47)*$G$48+($F$47-$D$47)*$E$48+$D$47*$C$48))))</f>
        <v>#REF!</v>
      </c>
      <c r="M54" t="e">
        <f t="shared" ref="M54" si="31">IF(M53&lt;$D$47,$C$48*M53,IF(M53&lt;$F$47,(M53-$D$47)*$E$48+$D$47*$C$48,IF(M53&lt;$H$47,(M53-$F$47)*$G$48+($F$47-$D$47)*$E$48+$D$47*$C$48,IF(M53&lt;$J$47,(M53-$H$47)*$I$48+($H$47-$F$47)*$G$48+($F$47-$D$47)*$E$48+$D$47*$C$48,(M53-$J$47)*$K$48+($J$47-$H$47)*$I$48+($H$47-$F$47)*$G$48+($F$47-$D$47)*$E$48+$D$47*$C$48))))</f>
        <v>#REF!</v>
      </c>
      <c r="N54" t="e">
        <f t="shared" ref="N54" si="32">IF(N53&lt;$D$47,$C$48*N53,IF(N53&lt;$F$47,(N53-$D$47)*$E$48+$D$47*$C$48,IF(N53&lt;$H$47,(N53-$F$47)*$G$48+($F$47-$D$47)*$E$48+$D$47*$C$48,IF(N53&lt;$J$47,(N53-$H$47)*$I$48+($H$47-$F$47)*$G$48+($F$47-$D$47)*$E$48+$D$47*$C$48,(N53-$J$47)*$K$48+($J$47-$H$47)*$I$48+($H$47-$F$47)*$G$48+($F$47-$D$47)*$E$48+$D$47*$C$48))))</f>
        <v>#REF!</v>
      </c>
      <c r="O54" t="e">
        <f t="shared" ref="O54" si="33">IF(O53&lt;$D$47,$C$48*O53,IF(O53&lt;$F$47,(O53-$D$47)*$E$48+$D$47*$C$48,IF(O53&lt;$H$47,(O53-$F$47)*$G$48+($F$47-$D$47)*$E$48+$D$47*$C$48,IF(O53&lt;$J$47,(O53-$H$47)*$I$48+($H$47-$F$47)*$G$48+($F$47-$D$47)*$E$48+$D$47*$C$48,(O53-$J$47)*$K$48+($J$47-$H$47)*$I$48+($H$47-$F$47)*$G$48+($F$47-$D$47)*$E$48+$D$47*$C$48))))</f>
        <v>#REF!</v>
      </c>
      <c r="P54" t="e">
        <f t="shared" ref="P54" si="34">IF(P53&lt;$D$47,$C$48*P53,IF(P53&lt;$F$47,(P53-$D$47)*$E$48+$D$47*$C$48,IF(P53&lt;$H$47,(P53-$F$47)*$G$48+($F$47-$D$47)*$E$48+$D$47*$C$48,IF(P53&lt;$J$47,(P53-$H$47)*$I$48+($H$47-$F$47)*$G$48+($F$47-$D$47)*$E$48+$D$47*$C$48,(P53-$J$47)*$K$48+($J$47-$H$47)*$I$48+($H$47-$F$47)*$G$48+($F$47-$D$47)*$E$48+$D$47*$C$48))))</f>
        <v>#REF!</v>
      </c>
      <c r="Q54" t="e">
        <f t="shared" ref="Q54" si="35">IF(Q53&lt;$D$47,$C$48*Q53,IF(Q53&lt;$F$47,(Q53-$D$47)*$E$48+$D$47*$C$48,IF(Q53&lt;$H$47,(Q53-$F$47)*$G$48+($F$47-$D$47)*$E$48+$D$47*$C$48,IF(Q53&lt;$J$47,(Q53-$H$47)*$I$48+($H$47-$F$47)*$G$48+($F$47-$D$47)*$E$48+$D$47*$C$48,(Q53-$J$47)*$K$48+($J$47-$H$47)*$I$48+($H$47-$F$47)*$G$48+($F$47-$D$47)*$E$48+$D$47*$C$48))))</f>
        <v>#REF!</v>
      </c>
      <c r="R54" t="e">
        <f t="shared" ref="R54" si="36">IF(R53&lt;$D$47,$C$48*R53,IF(R53&lt;$F$47,(R53-$D$47)*$E$48+$D$47*$C$48,IF(R53&lt;$H$47,(R53-$F$47)*$G$48+($F$47-$D$47)*$E$48+$D$47*$C$48,IF(R53&lt;$J$47,(R53-$H$47)*$I$48+($H$47-$F$47)*$G$48+($F$47-$D$47)*$E$48+$D$47*$C$48,(R53-$J$47)*$K$48+($J$47-$H$47)*$I$48+($H$47-$F$47)*$G$48+($F$47-$D$47)*$E$48+$D$47*$C$48))))</f>
        <v>#REF!</v>
      </c>
      <c r="S54" t="e">
        <f t="shared" ref="S54" si="37">IF(S53&lt;$D$47,$C$48*S53,IF(S53&lt;$F$47,(S53-$D$47)*$E$48+$D$47*$C$48,IF(S53&lt;$H$47,(S53-$F$47)*$G$48+($F$47-$D$47)*$E$48+$D$47*$C$48,IF(S53&lt;$J$47,(S53-$H$47)*$I$48+($H$47-$F$47)*$G$48+($F$47-$D$47)*$E$48+$D$47*$C$48,(S53-$J$47)*$K$48+($J$47-$H$47)*$I$48+($H$47-$F$47)*$G$48+($F$47-$D$47)*$E$48+$D$47*$C$48))))</f>
        <v>#REF!</v>
      </c>
      <c r="T54" t="e">
        <f t="shared" ref="T54" si="38">IF(T53&lt;$D$47,$C$48*T53,IF(T53&lt;$F$47,(T53-$D$47)*$E$48+$D$47*$C$48,IF(T53&lt;$H$47,(T53-$F$47)*$G$48+($F$47-$D$47)*$E$48+$D$47*$C$48,IF(T53&lt;$J$47,(T53-$H$47)*$I$48+($H$47-$F$47)*$G$48+($F$47-$D$47)*$E$48+$D$47*$C$48,(T53-$J$47)*$K$48+($J$47-$H$47)*$I$48+($H$47-$F$47)*$G$48+($F$47-$D$47)*$E$48+$D$47*$C$48))))</f>
        <v>#REF!</v>
      </c>
      <c r="U54" t="e">
        <f t="shared" ref="U54" si="39">IF(U53&lt;$D$47,$C$48*U53,IF(U53&lt;$F$47,(U53-$D$47)*$E$48+$D$47*$C$48,IF(U53&lt;$H$47,(U53-$F$47)*$G$48+($F$47-$D$47)*$E$48+$D$47*$C$48,IF(U53&lt;$J$47,(U53-$H$47)*$I$48+($H$47-$F$47)*$G$48+($F$47-$D$47)*$E$48+$D$47*$C$48,(U53-$J$47)*$K$48+($J$47-$H$47)*$I$48+($H$47-$F$47)*$G$48+($F$47-$D$47)*$E$48+$D$47*$C$48))))</f>
        <v>#REF!</v>
      </c>
      <c r="V54" t="e">
        <f t="shared" ref="V54" si="40">IF(V53&lt;$D$47,$C$48*V53,IF(V53&lt;$F$47,(V53-$D$47)*$E$48+$D$47*$C$48,IF(V53&lt;$H$47,(V53-$F$47)*$G$48+($F$47-$D$47)*$E$48+$D$47*$C$48,IF(V53&lt;$J$47,(V53-$H$47)*$I$48+($H$47-$F$47)*$G$48+($F$47-$D$47)*$E$48+$D$47*$C$48,(V53-$J$47)*$K$48+($J$47-$H$47)*$I$48+($H$47-$F$47)*$G$48+($F$47-$D$47)*$E$48+$D$47*$C$48))))</f>
        <v>#REF!</v>
      </c>
    </row>
    <row r="55" spans="1:22" x14ac:dyDescent="0.35">
      <c r="B55" t="e">
        <f>#REF!</f>
        <v>#REF!</v>
      </c>
      <c r="G55" t="e">
        <f>#REF!</f>
        <v>#REF!</v>
      </c>
      <c r="O55" t="e">
        <f>#REF!</f>
        <v>#REF!</v>
      </c>
      <c r="U55" t="e">
        <f>#REF!</f>
        <v>#REF!</v>
      </c>
    </row>
    <row r="56" spans="1:22" s="8" customFormat="1" x14ac:dyDescent="0.35">
      <c r="B56" s="8" t="s">
        <v>153</v>
      </c>
      <c r="C56" s="8" t="e">
        <f>D54-C54</f>
        <v>#REF!</v>
      </c>
      <c r="E56" s="8" t="e">
        <f t="shared" ref="E56:U56" si="41">F54-E54</f>
        <v>#REF!</v>
      </c>
      <c r="G56" s="8" t="e">
        <f t="shared" si="41"/>
        <v>#REF!</v>
      </c>
      <c r="I56" s="8" t="e">
        <f t="shared" si="41"/>
        <v>#REF!</v>
      </c>
      <c r="K56" s="8" t="e">
        <f t="shared" si="41"/>
        <v>#REF!</v>
      </c>
      <c r="M56" s="8" t="e">
        <f t="shared" si="41"/>
        <v>#REF!</v>
      </c>
      <c r="O56" s="8" t="e">
        <f t="shared" si="41"/>
        <v>#REF!</v>
      </c>
      <c r="Q56" s="8" t="e">
        <f t="shared" si="41"/>
        <v>#REF!</v>
      </c>
      <c r="S56" s="8" t="e">
        <f t="shared" si="41"/>
        <v>#REF!</v>
      </c>
      <c r="U56" s="8" t="e">
        <f t="shared" si="41"/>
        <v>#REF!</v>
      </c>
    </row>
    <row r="60" spans="1:22" x14ac:dyDescent="0.35">
      <c r="A60" t="s">
        <v>152</v>
      </c>
      <c r="B60" t="s">
        <v>48</v>
      </c>
      <c r="D60">
        <v>12600</v>
      </c>
      <c r="F60">
        <v>25000</v>
      </c>
      <c r="H60">
        <v>45000</v>
      </c>
      <c r="J60">
        <v>60000</v>
      </c>
    </row>
    <row r="61" spans="1:22" x14ac:dyDescent="0.35">
      <c r="B61" t="s">
        <v>49</v>
      </c>
      <c r="C61" s="10">
        <v>0</v>
      </c>
      <c r="E61" s="11">
        <v>0.25</v>
      </c>
      <c r="G61" s="11">
        <v>0.35</v>
      </c>
      <c r="I61" s="11">
        <v>0.5</v>
      </c>
      <c r="K61" s="11">
        <v>0.7</v>
      </c>
    </row>
    <row r="62" spans="1:22" x14ac:dyDescent="0.35">
      <c r="B62" t="s">
        <v>66</v>
      </c>
      <c r="D62" s="4">
        <f>D60*C61</f>
        <v>0</v>
      </c>
      <c r="E62" s="4"/>
      <c r="F62" s="4">
        <f>(F60-D60)*E61+D62</f>
        <v>3100</v>
      </c>
      <c r="H62" s="4">
        <f>F62+(H60-F60)*G61</f>
        <v>10100</v>
      </c>
      <c r="J62" s="4">
        <f>H62+(J60-H60)*I61</f>
        <v>17600</v>
      </c>
    </row>
    <row r="64" spans="1:22" x14ac:dyDescent="0.35">
      <c r="B64" t="s">
        <v>22</v>
      </c>
    </row>
    <row r="65" spans="1:22" x14ac:dyDescent="0.35">
      <c r="B65" t="s">
        <v>19</v>
      </c>
      <c r="C65" t="e">
        <f>C52</f>
        <v>#REF!</v>
      </c>
      <c r="E65" t="e">
        <f t="shared" ref="E65:U65" si="42">E52</f>
        <v>#REF!</v>
      </c>
      <c r="G65" t="e">
        <f t="shared" si="42"/>
        <v>#REF!</v>
      </c>
      <c r="I65" t="e">
        <f t="shared" si="42"/>
        <v>#REF!</v>
      </c>
      <c r="K65" t="e">
        <f t="shared" si="42"/>
        <v>#REF!</v>
      </c>
      <c r="M65" t="e">
        <f t="shared" si="42"/>
        <v>#REF!</v>
      </c>
      <c r="O65" t="e">
        <f t="shared" si="42"/>
        <v>#REF!</v>
      </c>
      <c r="Q65" t="e">
        <f t="shared" si="42"/>
        <v>#REF!</v>
      </c>
      <c r="S65" t="e">
        <f t="shared" si="42"/>
        <v>#REF!</v>
      </c>
      <c r="U65" t="e">
        <f t="shared" si="42"/>
        <v>#REF!</v>
      </c>
    </row>
    <row r="66" spans="1:22" x14ac:dyDescent="0.35">
      <c r="B66" t="s">
        <v>158</v>
      </c>
      <c r="C66" t="e">
        <f>C53</f>
        <v>#REF!</v>
      </c>
      <c r="D66" t="e">
        <f t="shared" ref="D66:V66" si="43">D53</f>
        <v>#REF!</v>
      </c>
      <c r="E66" t="e">
        <f t="shared" si="43"/>
        <v>#REF!</v>
      </c>
      <c r="F66">
        <f t="shared" si="43"/>
        <v>22200</v>
      </c>
      <c r="G66" t="e">
        <f t="shared" si="43"/>
        <v>#REF!</v>
      </c>
      <c r="H66">
        <f t="shared" si="43"/>
        <v>27100</v>
      </c>
      <c r="I66" t="e">
        <f t="shared" si="43"/>
        <v>#REF!</v>
      </c>
      <c r="J66">
        <f t="shared" si="43"/>
        <v>31400</v>
      </c>
      <c r="K66" t="e">
        <f t="shared" si="43"/>
        <v>#REF!</v>
      </c>
      <c r="L66">
        <f t="shared" si="43"/>
        <v>37400</v>
      </c>
      <c r="M66" t="e">
        <f t="shared" si="43"/>
        <v>#REF!</v>
      </c>
      <c r="N66">
        <f t="shared" si="43"/>
        <v>44300</v>
      </c>
      <c r="O66" t="e">
        <f t="shared" si="43"/>
        <v>#REF!</v>
      </c>
      <c r="P66">
        <f t="shared" si="43"/>
        <v>52600</v>
      </c>
      <c r="Q66" t="e">
        <f t="shared" si="43"/>
        <v>#REF!</v>
      </c>
      <c r="R66">
        <f t="shared" si="43"/>
        <v>62400</v>
      </c>
      <c r="S66" t="e">
        <f t="shared" si="43"/>
        <v>#REF!</v>
      </c>
      <c r="T66">
        <f t="shared" si="43"/>
        <v>77200</v>
      </c>
      <c r="U66" t="e">
        <f t="shared" si="43"/>
        <v>#REF!</v>
      </c>
      <c r="V66">
        <f t="shared" si="43"/>
        <v>126500</v>
      </c>
    </row>
    <row r="67" spans="1:22" x14ac:dyDescent="0.35">
      <c r="B67" t="s">
        <v>50</v>
      </c>
      <c r="C67" t="e">
        <f>IF(C66&lt;$D$60,$C$61*C66,IF(C66&lt;$F$60,(C66-$D$60)*$E$61+$D$60*$C$61,IF(C66&lt;$H$60,(C66-$F$60)*$G$61+($F$60-$D$60)*$E$61+$D$60*$C$61,IF(C66&lt;$J$60,(C66-$H$60)*$I$61+($H$60-$F$60)*$G$61+($F$60-$D$60)*$E$61+$D$60*$C$61,(C66-$J$60)*$K$61+($J$60-$H$60)*$I$61+($H$60-$F$60)*$G$61+($F$60-$D$60)*$E$61+$D$60*$C$61))))</f>
        <v>#REF!</v>
      </c>
      <c r="D67" t="e">
        <f t="shared" ref="D67:V67" si="44">IF(D66&lt;$D$60,$C$61*D66,IF(D66&lt;$F$60,(D66-$D$60)*$E$61+$D$60*$C$61,IF(D66&lt;$H$60,(D66-$F$60)*$G$61+($F$60-$D$60)*$E$61+$D$60*$C$61,IF(D66&lt;$J$60,(D66-$H$60)*$I$61+($H$60-$F$60)*$G$61+($F$60-$D$60)*$E$61+$D$60*$C$61,(D66-$J$60)*$K$61+($J$60-$H$60)*$I$61+($H$60-$F$60)*$G$61+($F$60-$D$60)*$E$61+$D$60*$C$61))))</f>
        <v>#REF!</v>
      </c>
      <c r="E67" t="e">
        <f t="shared" si="44"/>
        <v>#REF!</v>
      </c>
      <c r="F67">
        <f t="shared" si="44"/>
        <v>2400</v>
      </c>
      <c r="G67" t="e">
        <f t="shared" si="44"/>
        <v>#REF!</v>
      </c>
      <c r="H67">
        <f t="shared" si="44"/>
        <v>3835</v>
      </c>
      <c r="I67" t="e">
        <f t="shared" si="44"/>
        <v>#REF!</v>
      </c>
      <c r="J67">
        <f t="shared" si="44"/>
        <v>5340</v>
      </c>
      <c r="K67" t="e">
        <f t="shared" si="44"/>
        <v>#REF!</v>
      </c>
      <c r="L67">
        <f t="shared" si="44"/>
        <v>7440</v>
      </c>
      <c r="M67" t="e">
        <f t="shared" si="44"/>
        <v>#REF!</v>
      </c>
      <c r="N67">
        <f t="shared" si="44"/>
        <v>9855</v>
      </c>
      <c r="O67" t="e">
        <f t="shared" si="44"/>
        <v>#REF!</v>
      </c>
      <c r="P67">
        <f t="shared" si="44"/>
        <v>13900</v>
      </c>
      <c r="Q67" t="e">
        <f t="shared" si="44"/>
        <v>#REF!</v>
      </c>
      <c r="R67">
        <f t="shared" si="44"/>
        <v>19280</v>
      </c>
      <c r="S67" t="e">
        <f t="shared" si="44"/>
        <v>#REF!</v>
      </c>
      <c r="T67">
        <f t="shared" si="44"/>
        <v>29640</v>
      </c>
      <c r="U67" t="e">
        <f t="shared" si="44"/>
        <v>#REF!</v>
      </c>
      <c r="V67">
        <f t="shared" si="44"/>
        <v>64150</v>
      </c>
    </row>
    <row r="69" spans="1:22" s="8" customFormat="1" x14ac:dyDescent="0.35">
      <c r="B69" s="8" t="s">
        <v>153</v>
      </c>
      <c r="C69" s="8" t="e">
        <f>D67-C67</f>
        <v>#REF!</v>
      </c>
      <c r="E69" s="8" t="e">
        <f t="shared" ref="E69:U69" si="45">F67-E67</f>
        <v>#REF!</v>
      </c>
      <c r="G69" s="8" t="e">
        <f t="shared" si="45"/>
        <v>#REF!</v>
      </c>
      <c r="I69" s="8" t="e">
        <f t="shared" si="45"/>
        <v>#REF!</v>
      </c>
      <c r="K69" s="8" t="e">
        <f t="shared" si="45"/>
        <v>#REF!</v>
      </c>
      <c r="M69" s="8" t="e">
        <f t="shared" si="45"/>
        <v>#REF!</v>
      </c>
      <c r="O69" s="8" t="e">
        <f t="shared" si="45"/>
        <v>#REF!</v>
      </c>
      <c r="Q69" s="8" t="e">
        <f t="shared" si="45"/>
        <v>#REF!</v>
      </c>
      <c r="S69" s="8" t="e">
        <f t="shared" si="45"/>
        <v>#REF!</v>
      </c>
      <c r="U69" s="8" t="e">
        <f t="shared" si="45"/>
        <v>#REF!</v>
      </c>
    </row>
    <row r="72" spans="1:22" x14ac:dyDescent="0.35">
      <c r="A72" t="s">
        <v>219</v>
      </c>
    </row>
    <row r="73" spans="1:22" x14ac:dyDescent="0.35">
      <c r="B73" s="46" t="s">
        <v>193</v>
      </c>
      <c r="C73" s="47" t="s">
        <v>147</v>
      </c>
      <c r="D73" s="48" t="s">
        <v>177</v>
      </c>
    </row>
    <row r="74" spans="1:22" x14ac:dyDescent="0.35">
      <c r="B74" s="49" t="s">
        <v>175</v>
      </c>
      <c r="C74" s="50">
        <f>BIDyn!C2</f>
        <v>0</v>
      </c>
      <c r="D74" s="51">
        <f>BIDyn!D2</f>
        <v>12600</v>
      </c>
    </row>
    <row r="75" spans="1:22" x14ac:dyDescent="0.35">
      <c r="B75" s="59" t="s">
        <v>176</v>
      </c>
      <c r="C75" s="50">
        <f>BIDyn!C3</f>
        <v>150000</v>
      </c>
      <c r="D75" s="51">
        <f>BIDyn!D3</f>
        <v>0</v>
      </c>
    </row>
    <row r="76" spans="1:22" x14ac:dyDescent="0.35">
      <c r="B76" s="67" t="s">
        <v>216</v>
      </c>
      <c r="D76" s="51">
        <f>BIDyn!D4</f>
        <v>8.4000000000000005E-2</v>
      </c>
    </row>
    <row r="77" spans="1:22" x14ac:dyDescent="0.35">
      <c r="B77" t="s">
        <v>48</v>
      </c>
      <c r="D77">
        <f>BIDyn!C110</f>
        <v>12600</v>
      </c>
      <c r="F77">
        <f>BIDyn!E110</f>
        <v>35000</v>
      </c>
      <c r="H77">
        <f>BIDyn!G110</f>
        <v>50000</v>
      </c>
      <c r="J77">
        <f>BIDyn!I110</f>
        <v>75000</v>
      </c>
    </row>
    <row r="78" spans="1:22" x14ac:dyDescent="0.35">
      <c r="B78" t="s">
        <v>49</v>
      </c>
      <c r="C78" s="60">
        <f>BIDyn!B111</f>
        <v>0</v>
      </c>
      <c r="D78" s="60"/>
      <c r="E78" s="60">
        <f>BIDyn!D111</f>
        <v>0.31</v>
      </c>
      <c r="F78" s="60"/>
      <c r="G78" s="60">
        <f>BIDyn!F111</f>
        <v>0.38</v>
      </c>
      <c r="H78" s="60"/>
      <c r="I78" s="60">
        <f>BIDyn!H111</f>
        <v>0.5</v>
      </c>
      <c r="J78" s="60"/>
      <c r="K78" s="60">
        <f>BIDyn!J111</f>
        <v>0.6</v>
      </c>
    </row>
    <row r="79" spans="1:22" x14ac:dyDescent="0.35">
      <c r="B79" t="s">
        <v>66</v>
      </c>
      <c r="D79">
        <f>BIDyn!C112</f>
        <v>0</v>
      </c>
      <c r="F79">
        <f>BIDyn!E112</f>
        <v>6944</v>
      </c>
      <c r="H79">
        <f>BIDyn!G112</f>
        <v>12644</v>
      </c>
      <c r="J79">
        <f>BIDyn!I112</f>
        <v>25144</v>
      </c>
    </row>
    <row r="81" spans="1:22" x14ac:dyDescent="0.35">
      <c r="B81" t="str">
        <f>BIDyn!A114</f>
        <v>WERKENDEN</v>
      </c>
    </row>
    <row r="82" spans="1:22" x14ac:dyDescent="0.35">
      <c r="B82" t="str">
        <f>BIDyn!A115</f>
        <v>Deciel</v>
      </c>
      <c r="C82" s="4">
        <f>BIDyn!B115</f>
        <v>1</v>
      </c>
      <c r="E82" s="4">
        <f>BIDyn!C115</f>
        <v>2</v>
      </c>
      <c r="G82" s="4">
        <f>BIDyn!D115</f>
        <v>3</v>
      </c>
      <c r="I82" s="4">
        <f>BIDyn!E115</f>
        <v>4</v>
      </c>
      <c r="K82" s="4">
        <f>BIDyn!F115</f>
        <v>5</v>
      </c>
      <c r="M82" s="4">
        <f>BIDyn!G115</f>
        <v>6</v>
      </c>
      <c r="O82" s="4">
        <f>BIDyn!H115</f>
        <v>7</v>
      </c>
      <c r="Q82" s="4">
        <f>BIDyn!I115</f>
        <v>8</v>
      </c>
      <c r="S82" s="4">
        <f>BIDyn!J115</f>
        <v>9</v>
      </c>
      <c r="U82" s="4">
        <f>BIDyn!K115</f>
        <v>10</v>
      </c>
    </row>
    <row r="83" spans="1:22" x14ac:dyDescent="0.35">
      <c r="B83" t="str">
        <f>BIDyn!A116</f>
        <v>Midden deciel + Basisinkomen dyn</v>
      </c>
      <c r="C83" s="16">
        <f>BIDyn!B116</f>
        <v>3900</v>
      </c>
      <c r="D83" s="16">
        <f>C83+100</f>
        <v>4000</v>
      </c>
      <c r="E83" s="16">
        <f>BIDyn!C116</f>
        <v>20500</v>
      </c>
      <c r="F83" s="16">
        <f>E83+100</f>
        <v>20600</v>
      </c>
      <c r="G83" s="16">
        <f>BIDyn!D116</f>
        <v>26945.4</v>
      </c>
      <c r="H83" s="16">
        <f>G83+100</f>
        <v>27045.4</v>
      </c>
      <c r="I83" s="16">
        <f>BIDyn!E116</f>
        <v>30884.2</v>
      </c>
      <c r="J83" s="16">
        <f>I83+100</f>
        <v>30984.2</v>
      </c>
      <c r="K83" s="16">
        <f>BIDyn!F116</f>
        <v>36380.199999999997</v>
      </c>
      <c r="L83" s="16">
        <f>K83+100</f>
        <v>36480.199999999997</v>
      </c>
      <c r="M83" s="16">
        <f>BIDyn!G116</f>
        <v>42700.6</v>
      </c>
      <c r="N83" s="16">
        <f>M83+100</f>
        <v>42800.6</v>
      </c>
      <c r="O83" s="16">
        <f>BIDyn!H116</f>
        <v>50303.4</v>
      </c>
      <c r="P83" s="16">
        <f>O83+100</f>
        <v>50403.4</v>
      </c>
      <c r="Q83" s="16">
        <f>BIDyn!I116</f>
        <v>59280.2</v>
      </c>
      <c r="R83" s="16">
        <f>Q83+100</f>
        <v>59380.2</v>
      </c>
      <c r="S83" s="16">
        <f>BIDyn!J116</f>
        <v>72837</v>
      </c>
      <c r="T83" s="16">
        <f>S83+100</f>
        <v>72937</v>
      </c>
      <c r="U83" s="16">
        <f>BIDyn!K116</f>
        <v>117995.8</v>
      </c>
      <c r="V83" s="16">
        <f>U83+100</f>
        <v>118095.8</v>
      </c>
    </row>
    <row r="84" spans="1:22" x14ac:dyDescent="0.35">
      <c r="B84" t="str">
        <f>BIDyn!A117</f>
        <v>IB</v>
      </c>
      <c r="C84" s="16"/>
      <c r="D84" s="16"/>
      <c r="E84" s="16">
        <f t="shared" ref="E84:V84" si="46">IF(E83&lt;$D$77,$C$78*E83,IF(E83&lt;$F$77,(E83-$D$77)*$E$78+$D$77*$C$78,IF(E83&lt;$H$77,(E83-$F$77)*$G$78+($F$77-$D$77)*$E$78+$D$77*$C$78,IF(E83&lt;$J$77,(E83-$H$77)*$I$78+($H$77-$F$77)*$G$78+($F$77-$D$77)*$E$78+$D$77*$C$78,(E83-$J$77)*$K$78+($J$77-$H$77)*$I$78+($H$77-$F$77)*$G$78+($F$77-$D$77)*$E$78+$D$77*$C$78))))</f>
        <v>2449</v>
      </c>
      <c r="F84" s="16">
        <f t="shared" si="46"/>
        <v>2480</v>
      </c>
      <c r="G84" s="16">
        <f t="shared" si="46"/>
        <v>4447.0740000000005</v>
      </c>
      <c r="H84" s="16">
        <f t="shared" si="46"/>
        <v>4478.0740000000005</v>
      </c>
      <c r="I84" s="16">
        <f t="shared" si="46"/>
        <v>5668.1019999999999</v>
      </c>
      <c r="J84" s="16">
        <f t="shared" si="46"/>
        <v>5699.1019999999999</v>
      </c>
      <c r="K84" s="16">
        <f t="shared" si="46"/>
        <v>7468.4759999999987</v>
      </c>
      <c r="L84" s="16">
        <f t="shared" si="46"/>
        <v>7506.4759999999987</v>
      </c>
      <c r="M84" s="16">
        <f t="shared" si="46"/>
        <v>9870.2279999999992</v>
      </c>
      <c r="N84" s="16">
        <f t="shared" si="46"/>
        <v>9908.2279999999992</v>
      </c>
      <c r="O84" s="16">
        <f t="shared" si="46"/>
        <v>12795.7</v>
      </c>
      <c r="P84" s="16">
        <f t="shared" si="46"/>
        <v>12845.7</v>
      </c>
      <c r="Q84" s="16">
        <f t="shared" si="46"/>
        <v>17284.099999999999</v>
      </c>
      <c r="R84" s="16">
        <f t="shared" si="46"/>
        <v>17334.099999999999</v>
      </c>
      <c r="S84" s="16">
        <f t="shared" si="46"/>
        <v>24062.5</v>
      </c>
      <c r="T84" s="16">
        <f t="shared" si="46"/>
        <v>24112.5</v>
      </c>
      <c r="U84" s="16">
        <f t="shared" si="46"/>
        <v>50941.479999999996</v>
      </c>
      <c r="V84" s="16">
        <f t="shared" si="46"/>
        <v>51001.479999999996</v>
      </c>
    </row>
    <row r="85" spans="1:22" x14ac:dyDescent="0.35">
      <c r="C85" s="16"/>
      <c r="D85" s="16"/>
      <c r="E85" s="16"/>
      <c r="F85" s="16"/>
      <c r="G85" s="16"/>
      <c r="H85" s="16"/>
      <c r="I85" s="16"/>
      <c r="J85" s="16"/>
      <c r="K85" s="16"/>
      <c r="L85" s="16"/>
      <c r="M85" s="16"/>
      <c r="N85" s="16"/>
      <c r="O85" s="16"/>
      <c r="P85" s="16"/>
      <c r="Q85" s="16"/>
      <c r="R85" s="16"/>
      <c r="S85" s="16"/>
      <c r="T85" s="16"/>
      <c r="U85" s="16"/>
      <c r="V85" s="16"/>
    </row>
    <row r="86" spans="1:22" x14ac:dyDescent="0.35">
      <c r="C86" s="4"/>
      <c r="D86" s="4"/>
      <c r="E86" s="4"/>
      <c r="F86" s="4"/>
      <c r="G86" s="4"/>
      <c r="H86" s="4"/>
      <c r="I86" s="4"/>
      <c r="J86" s="4"/>
      <c r="K86" s="4"/>
      <c r="L86" s="4"/>
    </row>
    <row r="87" spans="1:22" s="9" customFormat="1" x14ac:dyDescent="0.35">
      <c r="B87" s="9" t="s">
        <v>190</v>
      </c>
      <c r="C87" s="65">
        <f>D84-C84</f>
        <v>0</v>
      </c>
      <c r="D87" s="65"/>
      <c r="E87" s="65">
        <f t="shared" ref="E87:U87" si="47">F84-E84</f>
        <v>31</v>
      </c>
      <c r="F87" s="65"/>
      <c r="G87" s="65">
        <f t="shared" si="47"/>
        <v>31</v>
      </c>
      <c r="H87" s="65"/>
      <c r="I87" s="65">
        <f t="shared" si="47"/>
        <v>31</v>
      </c>
      <c r="J87" s="65"/>
      <c r="K87" s="65">
        <f t="shared" si="47"/>
        <v>38</v>
      </c>
      <c r="L87" s="65"/>
      <c r="M87" s="65">
        <f t="shared" si="47"/>
        <v>38</v>
      </c>
      <c r="N87" s="65"/>
      <c r="O87" s="65">
        <f t="shared" si="47"/>
        <v>50</v>
      </c>
      <c r="P87" s="65"/>
      <c r="Q87" s="65">
        <f t="shared" si="47"/>
        <v>50</v>
      </c>
      <c r="R87" s="65"/>
      <c r="S87" s="65">
        <f t="shared" si="47"/>
        <v>50</v>
      </c>
      <c r="T87" s="65"/>
      <c r="U87" s="65">
        <f t="shared" si="47"/>
        <v>60</v>
      </c>
      <c r="V87" s="36"/>
    </row>
    <row r="88" spans="1:22" x14ac:dyDescent="0.35">
      <c r="B88" t="s">
        <v>194</v>
      </c>
      <c r="C88" s="16">
        <f>BIDyn!$D$4*100</f>
        <v>8.4</v>
      </c>
      <c r="D88" s="16"/>
      <c r="E88" s="16">
        <f>BIDyn!$D$4*100</f>
        <v>8.4</v>
      </c>
      <c r="F88" s="16"/>
      <c r="G88" s="16">
        <f>BIDyn!$D$4*100</f>
        <v>8.4</v>
      </c>
      <c r="H88" s="16"/>
      <c r="I88" s="16">
        <f>BIDyn!$D$4*100</f>
        <v>8.4</v>
      </c>
      <c r="J88" s="16"/>
      <c r="K88" s="16">
        <f>BIDyn!$D$4*100</f>
        <v>8.4</v>
      </c>
      <c r="L88" s="16"/>
      <c r="M88" s="16">
        <f>BIDyn!$D$4*100</f>
        <v>8.4</v>
      </c>
      <c r="N88" s="16"/>
      <c r="O88" s="16">
        <f>BIDyn!$D$4*100</f>
        <v>8.4</v>
      </c>
      <c r="P88" s="16"/>
      <c r="Q88" s="16">
        <f>BIDyn!$D$4*100</f>
        <v>8.4</v>
      </c>
      <c r="R88" s="16"/>
      <c r="S88" s="16">
        <f>BIDyn!$D$4*100</f>
        <v>8.4</v>
      </c>
      <c r="T88" s="16"/>
      <c r="U88" s="16">
        <f>BIDyn!$D$4*100</f>
        <v>8.4</v>
      </c>
      <c r="V88" s="4"/>
    </row>
    <row r="89" spans="1:22" x14ac:dyDescent="0.35">
      <c r="G89" s="4"/>
    </row>
    <row r="90" spans="1:22" s="8" customFormat="1" x14ac:dyDescent="0.35">
      <c r="B90" s="8" t="s">
        <v>153</v>
      </c>
      <c r="C90" s="42">
        <f t="shared" ref="C90:E90" si="48">C87+C88</f>
        <v>8.4</v>
      </c>
      <c r="D90" s="42"/>
      <c r="E90" s="42">
        <f t="shared" si="48"/>
        <v>39.4</v>
      </c>
      <c r="F90" s="42"/>
      <c r="G90" s="42">
        <f>G87+G88</f>
        <v>39.4</v>
      </c>
      <c r="H90" s="42"/>
      <c r="I90" s="42">
        <f t="shared" ref="I90:U90" si="49">I87+I88</f>
        <v>39.4</v>
      </c>
      <c r="J90" s="42"/>
      <c r="K90" s="42">
        <f t="shared" si="49"/>
        <v>46.4</v>
      </c>
      <c r="L90" s="42"/>
      <c r="M90" s="42">
        <f t="shared" si="49"/>
        <v>46.4</v>
      </c>
      <c r="N90" s="42"/>
      <c r="O90" s="42">
        <f t="shared" si="49"/>
        <v>58.4</v>
      </c>
      <c r="P90" s="42"/>
      <c r="Q90" s="42">
        <f t="shared" si="49"/>
        <v>58.4</v>
      </c>
      <c r="R90" s="42"/>
      <c r="S90" s="42">
        <f t="shared" si="49"/>
        <v>58.4</v>
      </c>
      <c r="T90" s="42"/>
      <c r="U90" s="42">
        <f t="shared" si="49"/>
        <v>68.400000000000006</v>
      </c>
    </row>
    <row r="91" spans="1:22" x14ac:dyDescent="0.35">
      <c r="G91" s="4"/>
    </row>
    <row r="93" spans="1:22" x14ac:dyDescent="0.35">
      <c r="A93" t="s">
        <v>213</v>
      </c>
    </row>
    <row r="94" spans="1:22" x14ac:dyDescent="0.35">
      <c r="B94" t="e">
        <f>#REF!</f>
        <v>#REF!</v>
      </c>
      <c r="D94" t="e">
        <f>#REF!</f>
        <v>#REF!</v>
      </c>
      <c r="F94" t="e">
        <f>#REF!</f>
        <v>#REF!</v>
      </c>
      <c r="H94" t="e">
        <f>#REF!</f>
        <v>#REF!</v>
      </c>
      <c r="J94" t="e">
        <f>#REF!</f>
        <v>#REF!</v>
      </c>
    </row>
    <row r="95" spans="1:22" x14ac:dyDescent="0.35">
      <c r="B95" t="e">
        <f>#REF!</f>
        <v>#REF!</v>
      </c>
      <c r="C95" s="60" t="e">
        <f>#REF!</f>
        <v>#REF!</v>
      </c>
      <c r="D95" s="60"/>
      <c r="E95" s="60" t="e">
        <f>#REF!</f>
        <v>#REF!</v>
      </c>
      <c r="F95" s="60"/>
      <c r="G95" s="60" t="e">
        <f>#REF!</f>
        <v>#REF!</v>
      </c>
      <c r="H95" s="60"/>
      <c r="I95" s="60" t="e">
        <f>#REF!</f>
        <v>#REF!</v>
      </c>
      <c r="J95" s="60"/>
      <c r="K95" s="60" t="e">
        <f>#REF!</f>
        <v>#REF!</v>
      </c>
    </row>
    <row r="96" spans="1:22" x14ac:dyDescent="0.35">
      <c r="B96" t="e">
        <f>#REF!</f>
        <v>#REF!</v>
      </c>
      <c r="D96" t="e">
        <f>#REF!</f>
        <v>#REF!</v>
      </c>
      <c r="F96" t="e">
        <f>#REF!</f>
        <v>#REF!</v>
      </c>
      <c r="H96" t="e">
        <f>#REF!</f>
        <v>#REF!</v>
      </c>
      <c r="J96" t="e">
        <f>#REF!</f>
        <v>#REF!</v>
      </c>
    </row>
    <row r="97" spans="1:22" x14ac:dyDescent="0.35">
      <c r="B97" t="e">
        <f>#REF!</f>
        <v>#REF!</v>
      </c>
    </row>
    <row r="98" spans="1:22" x14ac:dyDescent="0.35">
      <c r="B98" t="e">
        <f>#REF!</f>
        <v>#REF!</v>
      </c>
    </row>
    <row r="99" spans="1:22" x14ac:dyDescent="0.35">
      <c r="B99" t="e">
        <f>#REF!</f>
        <v>#REF!</v>
      </c>
      <c r="C99" t="e">
        <f>#REF!</f>
        <v>#REF!</v>
      </c>
      <c r="E99" t="e">
        <f>#REF!</f>
        <v>#REF!</v>
      </c>
      <c r="G99" t="e">
        <f>#REF!</f>
        <v>#REF!</v>
      </c>
      <c r="I99" t="e">
        <f>#REF!</f>
        <v>#REF!</v>
      </c>
      <c r="K99" t="e">
        <f>#REF!</f>
        <v>#REF!</v>
      </c>
      <c r="M99" t="e">
        <f>#REF!</f>
        <v>#REF!</v>
      </c>
      <c r="O99" t="e">
        <f>#REF!</f>
        <v>#REF!</v>
      </c>
      <c r="Q99" t="e">
        <f>#REF!</f>
        <v>#REF!</v>
      </c>
      <c r="S99" t="e">
        <f>#REF!</f>
        <v>#REF!</v>
      </c>
      <c r="U99" t="e">
        <f>#REF!</f>
        <v>#REF!</v>
      </c>
    </row>
    <row r="100" spans="1:22" x14ac:dyDescent="0.35">
      <c r="B100" t="e">
        <f>#REF!</f>
        <v>#REF!</v>
      </c>
      <c r="C100" s="4" t="e">
        <f>#REF!</f>
        <v>#REF!</v>
      </c>
      <c r="D100" s="4" t="e">
        <f>C100+100</f>
        <v>#REF!</v>
      </c>
      <c r="E100" s="4" t="e">
        <f>#REF!</f>
        <v>#REF!</v>
      </c>
      <c r="F100" s="4" t="e">
        <f>E100+100</f>
        <v>#REF!</v>
      </c>
      <c r="G100" s="4" t="e">
        <f>#REF!</f>
        <v>#REF!</v>
      </c>
      <c r="H100" s="4" t="e">
        <f>G100+100</f>
        <v>#REF!</v>
      </c>
      <c r="I100" s="4" t="e">
        <f>#REF!</f>
        <v>#REF!</v>
      </c>
      <c r="J100" s="4" t="e">
        <f>I100+100</f>
        <v>#REF!</v>
      </c>
      <c r="K100" s="4" t="e">
        <f>#REF!</f>
        <v>#REF!</v>
      </c>
      <c r="L100" s="4" t="e">
        <f>K100+100</f>
        <v>#REF!</v>
      </c>
      <c r="M100" s="4" t="e">
        <f>#REF!</f>
        <v>#REF!</v>
      </c>
      <c r="N100" s="4" t="e">
        <f>M100+100</f>
        <v>#REF!</v>
      </c>
      <c r="O100" s="4" t="e">
        <f>#REF!</f>
        <v>#REF!</v>
      </c>
      <c r="P100" s="4" t="e">
        <f>O100+100</f>
        <v>#REF!</v>
      </c>
      <c r="Q100" s="4" t="e">
        <f>#REF!</f>
        <v>#REF!</v>
      </c>
      <c r="R100" s="4" t="e">
        <f>Q100+100</f>
        <v>#REF!</v>
      </c>
      <c r="S100" s="4" t="e">
        <f>#REF!</f>
        <v>#REF!</v>
      </c>
      <c r="T100" s="4" t="e">
        <f>S100+100</f>
        <v>#REF!</v>
      </c>
      <c r="U100" s="4" t="e">
        <f>#REF!</f>
        <v>#REF!</v>
      </c>
      <c r="V100" s="4" t="e">
        <f>U100+100</f>
        <v>#REF!</v>
      </c>
    </row>
    <row r="101" spans="1:22" x14ac:dyDescent="0.35">
      <c r="B101" t="e">
        <f>#REF!</f>
        <v>#REF!</v>
      </c>
      <c r="C101" s="4" t="e">
        <f>IF(C100&lt;$D$94,$C$95*C100,IF(C100&lt;$F$94,(C100-$D$94)*$E$95+$D$94*$C$95,IF(C100&lt;$H$94,(C100-$F$94)*$G$95+($F$94-$D$94)*$E$95+$D$94*$C$95,IF(C100&lt;$J$94,(C100-$H$94)*$I$95+($H$94-$F$94)*$G$95+($F$94-$D$94)*$E$95+$D$94*$C$95,(C100-$J$94)*$K$95+($J$94-$H$94)*$I$95+($H$94-$F$94)*$G$95+($F$94-$D$94)*$E$95+$D$94*$C$95))))</f>
        <v>#REF!</v>
      </c>
      <c r="D101" s="4" t="e">
        <f t="shared" ref="D101:V101" si="50">IF(D100&lt;$D$94,$C$95*D100,IF(D100&lt;$F$94,(D100-$D$94)*$E$95+$D$94*$C$95,IF(D100&lt;$H$94,(D100-$F$94)*$G$95+($F$94-$D$94)*$E$95+$D$94*$C$95,IF(D100&lt;$J$94,(D100-$H$94)*$I$95+($H$94-$F$94)*$G$95+($F$94-$D$94)*$E$95+$D$94*$C$95,(D100-$J$94)*$K$95+($J$94-$H$94)*$I$95+($H$94-$F$94)*$G$95+($F$94-$D$94)*$E$95+$D$94*$C$95))))</f>
        <v>#REF!</v>
      </c>
      <c r="E101" s="4" t="e">
        <f>IF(E100&lt;D94,C95*E100,IF(E100&lt;F94,(E100-D94)*E95+D94*C95,IF(E100&lt;H94,(E100-F94)*G95+(F94-D94)*E95+D94*C95,IF(E100&lt;J94,(E100-H94)*I95+(H94-F94)*G95+(F94-D94)*E95+D94*C95,(E100-J94)*K95+(J94-H94)*I95+(H94-F94)*G95+(F94-D94)*E95+D94*C95))))</f>
        <v>#REF!</v>
      </c>
      <c r="F101" s="4" t="e">
        <f t="shared" si="50"/>
        <v>#REF!</v>
      </c>
      <c r="G101" s="4" t="e">
        <f t="shared" si="50"/>
        <v>#REF!</v>
      </c>
      <c r="H101" s="4" t="e">
        <f t="shared" si="50"/>
        <v>#REF!</v>
      </c>
      <c r="I101" s="4" t="e">
        <f t="shared" si="50"/>
        <v>#REF!</v>
      </c>
      <c r="J101" s="4" t="e">
        <f t="shared" si="50"/>
        <v>#REF!</v>
      </c>
      <c r="K101" s="4" t="e">
        <f t="shared" si="50"/>
        <v>#REF!</v>
      </c>
      <c r="L101" s="4" t="e">
        <f t="shared" si="50"/>
        <v>#REF!</v>
      </c>
      <c r="M101" s="4" t="e">
        <f t="shared" si="50"/>
        <v>#REF!</v>
      </c>
      <c r="N101" s="4" t="e">
        <f t="shared" si="50"/>
        <v>#REF!</v>
      </c>
      <c r="O101" s="4" t="e">
        <f t="shared" si="50"/>
        <v>#REF!</v>
      </c>
      <c r="P101" s="4" t="e">
        <f t="shared" si="50"/>
        <v>#REF!</v>
      </c>
      <c r="Q101" s="4" t="e">
        <f t="shared" si="50"/>
        <v>#REF!</v>
      </c>
      <c r="R101" s="4" t="e">
        <f t="shared" si="50"/>
        <v>#REF!</v>
      </c>
      <c r="S101" s="4" t="e">
        <f t="shared" si="50"/>
        <v>#REF!</v>
      </c>
      <c r="T101" s="4" t="e">
        <f t="shared" si="50"/>
        <v>#REF!</v>
      </c>
      <c r="U101" s="4" t="e">
        <f t="shared" si="50"/>
        <v>#REF!</v>
      </c>
      <c r="V101" s="4" t="e">
        <f t="shared" si="50"/>
        <v>#REF!</v>
      </c>
    </row>
    <row r="103" spans="1:22" x14ac:dyDescent="0.35">
      <c r="B103" t="s">
        <v>190</v>
      </c>
      <c r="E103" s="4" t="e">
        <f>F101-E101</f>
        <v>#REF!</v>
      </c>
      <c r="F103" s="4"/>
      <c r="G103" s="4" t="e">
        <f t="shared" ref="G103:U103" si="51">H101-G101</f>
        <v>#REF!</v>
      </c>
      <c r="H103" s="4"/>
      <c r="I103" s="4" t="e">
        <f t="shared" si="51"/>
        <v>#REF!</v>
      </c>
      <c r="J103" s="4"/>
      <c r="K103" s="4" t="e">
        <f t="shared" si="51"/>
        <v>#REF!</v>
      </c>
      <c r="L103" s="4"/>
      <c r="M103" s="4" t="e">
        <f t="shared" si="51"/>
        <v>#REF!</v>
      </c>
      <c r="N103" s="4"/>
      <c r="O103" s="4" t="e">
        <f t="shared" si="51"/>
        <v>#REF!</v>
      </c>
      <c r="P103" s="4"/>
      <c r="Q103" s="4" t="e">
        <f t="shared" si="51"/>
        <v>#REF!</v>
      </c>
      <c r="R103" s="4"/>
      <c r="S103" s="4" t="e">
        <f t="shared" si="51"/>
        <v>#REF!</v>
      </c>
      <c r="T103" s="4"/>
      <c r="U103" s="4" t="e">
        <f t="shared" si="51"/>
        <v>#REF!</v>
      </c>
      <c r="V103" s="4"/>
    </row>
    <row r="104" spans="1:22" x14ac:dyDescent="0.35">
      <c r="B104" t="s">
        <v>194</v>
      </c>
      <c r="C104" s="16">
        <f>C88</f>
        <v>8.4</v>
      </c>
      <c r="D104" s="16"/>
      <c r="E104" s="16">
        <f t="shared" ref="E104:U104" si="52">E88</f>
        <v>8.4</v>
      </c>
      <c r="F104" s="16"/>
      <c r="G104" s="16">
        <f t="shared" si="52"/>
        <v>8.4</v>
      </c>
      <c r="H104" s="16"/>
      <c r="I104" s="16">
        <f t="shared" si="52"/>
        <v>8.4</v>
      </c>
      <c r="J104" s="16"/>
      <c r="K104" s="16">
        <f t="shared" si="52"/>
        <v>8.4</v>
      </c>
      <c r="L104" s="16"/>
      <c r="M104" s="16">
        <f t="shared" si="52"/>
        <v>8.4</v>
      </c>
      <c r="N104" s="16"/>
      <c r="O104" s="16">
        <f t="shared" si="52"/>
        <v>8.4</v>
      </c>
      <c r="P104" s="16"/>
      <c r="Q104" s="16">
        <f t="shared" si="52"/>
        <v>8.4</v>
      </c>
      <c r="R104" s="16"/>
      <c r="S104" s="16">
        <f t="shared" si="52"/>
        <v>8.4</v>
      </c>
      <c r="T104" s="16"/>
      <c r="U104" s="16">
        <f t="shared" si="52"/>
        <v>8.4</v>
      </c>
      <c r="V104" s="16"/>
    </row>
    <row r="105" spans="1:22" x14ac:dyDescent="0.35">
      <c r="B105" t="s">
        <v>211</v>
      </c>
      <c r="C105" s="4">
        <f>C104+C103</f>
        <v>8.4</v>
      </c>
      <c r="D105" s="4"/>
      <c r="E105" s="4" t="e">
        <f t="shared" ref="E105:U105" si="53">E104+E103</f>
        <v>#REF!</v>
      </c>
      <c r="F105" s="4"/>
      <c r="G105" s="4" t="e">
        <f t="shared" si="53"/>
        <v>#REF!</v>
      </c>
      <c r="H105" s="4"/>
      <c r="I105" s="4" t="e">
        <f t="shared" si="53"/>
        <v>#REF!</v>
      </c>
      <c r="J105" s="4"/>
      <c r="K105" s="4" t="e">
        <f t="shared" si="53"/>
        <v>#REF!</v>
      </c>
      <c r="L105" s="4"/>
      <c r="M105" s="4" t="e">
        <f t="shared" si="53"/>
        <v>#REF!</v>
      </c>
      <c r="N105" s="4"/>
      <c r="O105" s="4" t="e">
        <f t="shared" si="53"/>
        <v>#REF!</v>
      </c>
      <c r="P105" s="4"/>
      <c r="Q105" s="4" t="e">
        <f t="shared" si="53"/>
        <v>#REF!</v>
      </c>
      <c r="R105" s="4"/>
      <c r="S105" s="4" t="e">
        <f t="shared" si="53"/>
        <v>#REF!</v>
      </c>
      <c r="T105" s="4"/>
      <c r="U105" s="4" t="e">
        <f t="shared" si="53"/>
        <v>#REF!</v>
      </c>
    </row>
    <row r="107" spans="1:22" x14ac:dyDescent="0.35">
      <c r="A107" t="s">
        <v>238</v>
      </c>
      <c r="B107" t="str">
        <f>'BIDyn light'!A110</f>
        <v>Grensbedrag</v>
      </c>
      <c r="D107">
        <f>'BIDyn light'!C110</f>
        <v>12600</v>
      </c>
      <c r="F107">
        <f>'BIDyn light'!E110</f>
        <v>25000</v>
      </c>
      <c r="H107">
        <f>'BIDyn light'!G110</f>
        <v>37000</v>
      </c>
      <c r="J107">
        <f>'BIDyn light'!I110</f>
        <v>65000</v>
      </c>
    </row>
    <row r="108" spans="1:22" x14ac:dyDescent="0.35">
      <c r="B108" t="str">
        <f>'BIDyn light'!A111</f>
        <v>Heffingspercentage</v>
      </c>
      <c r="C108" s="60">
        <f>'BIDyn light'!B111</f>
        <v>0</v>
      </c>
      <c r="D108" s="60"/>
      <c r="E108" s="60">
        <f>'BIDyn light'!D111</f>
        <v>0.36</v>
      </c>
      <c r="F108" s="60"/>
      <c r="G108" s="60">
        <f>'BIDyn light'!F111</f>
        <v>0.4</v>
      </c>
      <c r="H108" s="60"/>
      <c r="I108" s="60">
        <f>'BIDyn light'!H111</f>
        <v>0.5</v>
      </c>
      <c r="J108" s="60"/>
      <c r="K108" s="60">
        <f>'BIDyn light'!J111</f>
        <v>0.7</v>
      </c>
      <c r="L108" s="60"/>
    </row>
    <row r="109" spans="1:22" x14ac:dyDescent="0.35">
      <c r="B109" t="str">
        <f>'BIDyn light'!A112</f>
        <v>IB-Bedrag op grens</v>
      </c>
      <c r="D109">
        <f>'BIDyn light'!C112</f>
        <v>0</v>
      </c>
      <c r="F109">
        <f>'BIDyn light'!E112</f>
        <v>4464</v>
      </c>
      <c r="H109">
        <f>'BIDyn light'!G112</f>
        <v>9264</v>
      </c>
      <c r="J109">
        <f>'BIDyn light'!I112</f>
        <v>23264</v>
      </c>
    </row>
    <row r="111" spans="1:22" x14ac:dyDescent="0.35">
      <c r="B111" t="str">
        <f>'BIDyn light'!A114</f>
        <v>WERKENDEN</v>
      </c>
    </row>
    <row r="112" spans="1:22" x14ac:dyDescent="0.35">
      <c r="B112" t="str">
        <f>'BIDyn light'!A115</f>
        <v>Deciel</v>
      </c>
      <c r="C112">
        <f>'BIDyn light'!B115</f>
        <v>1</v>
      </c>
      <c r="E112">
        <f>'BIDyn light'!C115</f>
        <v>2</v>
      </c>
      <c r="G112">
        <f>'BIDyn light'!D115</f>
        <v>3</v>
      </c>
      <c r="I112">
        <f>'BIDyn light'!E115</f>
        <v>4</v>
      </c>
      <c r="K112">
        <f>'BIDyn light'!F115</f>
        <v>5</v>
      </c>
      <c r="M112">
        <f>'BIDyn light'!G115</f>
        <v>6</v>
      </c>
      <c r="O112">
        <f>'BIDyn light'!H115</f>
        <v>7</v>
      </c>
      <c r="Q112">
        <f>'BIDyn light'!I115</f>
        <v>8</v>
      </c>
      <c r="S112">
        <f>'BIDyn light'!J115</f>
        <v>9</v>
      </c>
      <c r="U112">
        <f>'BIDyn light'!K115</f>
        <v>10</v>
      </c>
    </row>
    <row r="113" spans="1:22" x14ac:dyDescent="0.35">
      <c r="B113" t="str">
        <f>'BIDyn light'!A116</f>
        <v>Midden deciel + Basisinkomen dyn</v>
      </c>
      <c r="C113" s="4">
        <f>'BIDyn light'!B116</f>
        <v>3900</v>
      </c>
      <c r="D113" s="4">
        <f>C113+100</f>
        <v>4000</v>
      </c>
      <c r="E113" s="4">
        <f>'BIDyn light'!C116</f>
        <v>14745.6</v>
      </c>
      <c r="F113">
        <f>E113+100</f>
        <v>14845.6</v>
      </c>
      <c r="G113" s="4">
        <f>'BIDyn light'!D116</f>
        <v>20366.400000000001</v>
      </c>
      <c r="H113">
        <f>G113+100</f>
        <v>20466.400000000001</v>
      </c>
      <c r="I113" s="4">
        <f>'BIDyn light'!E116</f>
        <v>24477.200000000001</v>
      </c>
      <c r="J113">
        <f>I113+100</f>
        <v>24577.200000000001</v>
      </c>
      <c r="K113" s="4">
        <f>'BIDyn light'!F116</f>
        <v>30213.200000000001</v>
      </c>
      <c r="L113">
        <f>K113+100</f>
        <v>30313.200000000001</v>
      </c>
      <c r="M113" s="4">
        <f>'BIDyn light'!G116</f>
        <v>36809.599999999999</v>
      </c>
      <c r="N113">
        <f>M113+100</f>
        <v>36909.599999999999</v>
      </c>
      <c r="O113" s="4">
        <f>'BIDyn light'!H116</f>
        <v>44744.4</v>
      </c>
      <c r="P113">
        <f>O113+100</f>
        <v>44844.4</v>
      </c>
      <c r="Q113" s="4">
        <f>'BIDyn light'!I116</f>
        <v>54113.2</v>
      </c>
      <c r="R113">
        <f>Q113+100</f>
        <v>54213.2</v>
      </c>
      <c r="S113" s="4">
        <f>'BIDyn light'!J116</f>
        <v>68262</v>
      </c>
      <c r="T113">
        <f>S113+100</f>
        <v>68362</v>
      </c>
      <c r="U113" s="4">
        <f>'BIDyn light'!K116</f>
        <v>115392.8</v>
      </c>
      <c r="V113">
        <f>U113+100</f>
        <v>115492.8</v>
      </c>
    </row>
    <row r="114" spans="1:22" x14ac:dyDescent="0.35">
      <c r="B114" t="str">
        <f>'BIDyn light'!A117</f>
        <v>IB</v>
      </c>
      <c r="C114" s="4">
        <f t="shared" ref="C114" si="54">IF(C113&lt;$D$107,$C$108*C113,IF(C113&lt;$F$107,(C113-$D$107)*$E$108+$D$107*$C$108,IF(C113&lt;$H$107,(C113-$F$107)*$G$108+($F$107-$D$107)*$E$108+$D$107*$C$108,IF(C113&lt;$J$107,(C113-$H$107)*$I$108+($H$107-$F$107)*$G$108+($F$107-$D$107)*$E$108+$D$107*$C$108,(C113-$J$107)*$K$108+($J$107-$H$107)*$I$108+($H$107-$F$107)*$G$108+($F$107-$D$107)*$E$108+$D$107*$C$108))))</f>
        <v>0</v>
      </c>
      <c r="D114" s="4">
        <f t="shared" ref="D114" si="55">IF(D113&lt;$D$107,$C$108*D113,IF(D113&lt;$F$107,(D113-$D$107)*$E$108+$D$107*$C$108,IF(D113&lt;$H$107,(D113-$F$107)*$G$108+($F$107-$D$107)*$E$108+$D$107*$C$108,IF(D113&lt;$J$107,(D113-$H$107)*$I$108+($H$107-$F$107)*$G$108+($F$107-$D$107)*$E$108+$D$107*$C$108,(D113-$J$107)*$K$108+($J$107-$H$107)*$I$108+($H$107-$F$107)*$G$108+($F$107-$D$107)*$E$108+$D$107*$C$108))))</f>
        <v>0</v>
      </c>
      <c r="E114" s="4">
        <f t="shared" ref="E114" si="56">IF(E113&lt;$D$107,$C$108*E113,IF(E113&lt;$F$107,(E113-$D$107)*$E$108+$D$107*$C$108,IF(E113&lt;$H$107,(E113-$F$107)*$G$108+($F$107-$D$107)*$E$108+$D$107*$C$108,IF(E113&lt;$J$107,(E113-$H$107)*$I$108+($H$107-$F$107)*$G$108+($F$107-$D$107)*$E$108+$D$107*$C$108,(E113-$J$107)*$K$108+($J$107-$H$107)*$I$108+($H$107-$F$107)*$G$108+($F$107-$D$107)*$E$108+$D$107*$C$108))))</f>
        <v>772.41600000000005</v>
      </c>
      <c r="F114" s="4">
        <f t="shared" ref="F114" si="57">IF(F113&lt;$D$107,$C$108*F113,IF(F113&lt;$F$107,(F113-$D$107)*$E$108+$D$107*$C$108,IF(F113&lt;$H$107,(F113-$F$107)*$G$108+($F$107-$D$107)*$E$108+$D$107*$C$108,IF(F113&lt;$J$107,(F113-$H$107)*$I$108+($H$107-$F$107)*$G$108+($F$107-$D$107)*$E$108+$D$107*$C$108,(F113-$J$107)*$K$108+($J$107-$H$107)*$I$108+($H$107-$F$107)*$G$108+($F$107-$D$107)*$E$108+$D$107*$C$108))))</f>
        <v>808.41600000000005</v>
      </c>
      <c r="G114" s="4">
        <f t="shared" ref="G114" si="58">IF(G113&lt;$D$107,$C$108*G113,IF(G113&lt;$F$107,(G113-$D$107)*$E$108+$D$107*$C$108,IF(G113&lt;$H$107,(G113-$F$107)*$G$108+($F$107-$D$107)*$E$108+$D$107*$C$108,IF(G113&lt;$J$107,(G113-$H$107)*$I$108+($H$107-$F$107)*$G$108+($F$107-$D$107)*$E$108+$D$107*$C$108,(G113-$J$107)*$K$108+($J$107-$H$107)*$I$108+($H$107-$F$107)*$G$108+($F$107-$D$107)*$E$108+$D$107*$C$108))))</f>
        <v>2795.9040000000005</v>
      </c>
      <c r="H114" s="4">
        <f t="shared" ref="H114" si="59">IF(H113&lt;$D$107,$C$108*H113,IF(H113&lt;$F$107,(H113-$D$107)*$E$108+$D$107*$C$108,IF(H113&lt;$H$107,(H113-$F$107)*$G$108+($F$107-$D$107)*$E$108+$D$107*$C$108,IF(H113&lt;$J$107,(H113-$H$107)*$I$108+($H$107-$F$107)*$G$108+($F$107-$D$107)*$E$108+$D$107*$C$108,(H113-$J$107)*$K$108+($J$107-$H$107)*$I$108+($H$107-$F$107)*$G$108+($F$107-$D$107)*$E$108+$D$107*$C$108))))</f>
        <v>2831.9040000000005</v>
      </c>
      <c r="I114" s="4">
        <f t="shared" ref="I114" si="60">IF(I113&lt;$D$107,$C$108*I113,IF(I113&lt;$F$107,(I113-$D$107)*$E$108+$D$107*$C$108,IF(I113&lt;$H$107,(I113-$F$107)*$G$108+($F$107-$D$107)*$E$108+$D$107*$C$108,IF(I113&lt;$J$107,(I113-$H$107)*$I$108+($H$107-$F$107)*$G$108+($F$107-$D$107)*$E$108+$D$107*$C$108,(I113-$J$107)*$K$108+($J$107-$H$107)*$I$108+($H$107-$F$107)*$G$108+($F$107-$D$107)*$E$108+$D$107*$C$108))))</f>
        <v>4275.7920000000004</v>
      </c>
      <c r="J114" s="4">
        <f t="shared" ref="J114" si="61">IF(J113&lt;$D$107,$C$108*J113,IF(J113&lt;$F$107,(J113-$D$107)*$E$108+$D$107*$C$108,IF(J113&lt;$H$107,(J113-$F$107)*$G$108+($F$107-$D$107)*$E$108+$D$107*$C$108,IF(J113&lt;$J$107,(J113-$H$107)*$I$108+($H$107-$F$107)*$G$108+($F$107-$D$107)*$E$108+$D$107*$C$108,(J113-$J$107)*$K$108+($J$107-$H$107)*$I$108+($H$107-$F$107)*$G$108+($F$107-$D$107)*$E$108+$D$107*$C$108))))</f>
        <v>4311.7920000000004</v>
      </c>
      <c r="K114" s="4">
        <f t="shared" ref="K114" si="62">IF(K113&lt;$D$107,$C$108*K113,IF(K113&lt;$F$107,(K113-$D$107)*$E$108+$D$107*$C$108,IF(K113&lt;$H$107,(K113-$F$107)*$G$108+($F$107-$D$107)*$E$108+$D$107*$C$108,IF(K113&lt;$J$107,(K113-$H$107)*$I$108+($H$107-$F$107)*$G$108+($F$107-$D$107)*$E$108+$D$107*$C$108,(K113-$J$107)*$K$108+($J$107-$H$107)*$I$108+($H$107-$F$107)*$G$108+($F$107-$D$107)*$E$108+$D$107*$C$108))))</f>
        <v>6549.2800000000007</v>
      </c>
      <c r="L114" s="4">
        <f t="shared" ref="L114" si="63">IF(L113&lt;$D$107,$C$108*L113,IF(L113&lt;$F$107,(L113-$D$107)*$E$108+$D$107*$C$108,IF(L113&lt;$H$107,(L113-$F$107)*$G$108+($F$107-$D$107)*$E$108+$D$107*$C$108,IF(L113&lt;$J$107,(L113-$H$107)*$I$108+($H$107-$F$107)*$G$108+($F$107-$D$107)*$E$108+$D$107*$C$108,(L113-$J$107)*$K$108+($J$107-$H$107)*$I$108+($H$107-$F$107)*$G$108+($F$107-$D$107)*$E$108+$D$107*$C$108))))</f>
        <v>6589.2800000000007</v>
      </c>
      <c r="M114" s="4">
        <f t="shared" ref="M114" si="64">IF(M113&lt;$D$107,$C$108*M113,IF(M113&lt;$F$107,(M113-$D$107)*$E$108+$D$107*$C$108,IF(M113&lt;$H$107,(M113-$F$107)*$G$108+($F$107-$D$107)*$E$108+$D$107*$C$108,IF(M113&lt;$J$107,(M113-$H$107)*$I$108+($H$107-$F$107)*$G$108+($F$107-$D$107)*$E$108+$D$107*$C$108,(M113-$J$107)*$K$108+($J$107-$H$107)*$I$108+($H$107-$F$107)*$G$108+($F$107-$D$107)*$E$108+$D$107*$C$108))))</f>
        <v>9187.84</v>
      </c>
      <c r="N114" s="4">
        <f t="shared" ref="N114" si="65">IF(N113&lt;$D$107,$C$108*N113,IF(N113&lt;$F$107,(N113-$D$107)*$E$108+$D$107*$C$108,IF(N113&lt;$H$107,(N113-$F$107)*$G$108+($F$107-$D$107)*$E$108+$D$107*$C$108,IF(N113&lt;$J$107,(N113-$H$107)*$I$108+($H$107-$F$107)*$G$108+($F$107-$D$107)*$E$108+$D$107*$C$108,(N113-$J$107)*$K$108+($J$107-$H$107)*$I$108+($H$107-$F$107)*$G$108+($F$107-$D$107)*$E$108+$D$107*$C$108))))</f>
        <v>9227.84</v>
      </c>
      <c r="O114" s="4">
        <f t="shared" ref="O114" si="66">IF(O113&lt;$D$107,$C$108*O113,IF(O113&lt;$F$107,(O113-$D$107)*$E$108+$D$107*$C$108,IF(O113&lt;$H$107,(O113-$F$107)*$G$108+($F$107-$D$107)*$E$108+$D$107*$C$108,IF(O113&lt;$J$107,(O113-$H$107)*$I$108+($H$107-$F$107)*$G$108+($F$107-$D$107)*$E$108+$D$107*$C$108,(O113-$J$107)*$K$108+($J$107-$H$107)*$I$108+($H$107-$F$107)*$G$108+($F$107-$D$107)*$E$108+$D$107*$C$108))))</f>
        <v>13136.2</v>
      </c>
      <c r="P114" s="4">
        <f t="shared" ref="P114" si="67">IF(P113&lt;$D$107,$C$108*P113,IF(P113&lt;$F$107,(P113-$D$107)*$E$108+$D$107*$C$108,IF(P113&lt;$H$107,(P113-$F$107)*$G$108+($F$107-$D$107)*$E$108+$D$107*$C$108,IF(P113&lt;$J$107,(P113-$H$107)*$I$108+($H$107-$F$107)*$G$108+($F$107-$D$107)*$E$108+$D$107*$C$108,(P113-$J$107)*$K$108+($J$107-$H$107)*$I$108+($H$107-$F$107)*$G$108+($F$107-$D$107)*$E$108+$D$107*$C$108))))</f>
        <v>13186.2</v>
      </c>
      <c r="Q114" s="4">
        <f t="shared" ref="Q114" si="68">IF(Q113&lt;$D$107,$C$108*Q113,IF(Q113&lt;$F$107,(Q113-$D$107)*$E$108+$D$107*$C$108,IF(Q113&lt;$H$107,(Q113-$F$107)*$G$108+($F$107-$D$107)*$E$108+$D$107*$C$108,IF(Q113&lt;$J$107,(Q113-$H$107)*$I$108+($H$107-$F$107)*$G$108+($F$107-$D$107)*$E$108+$D$107*$C$108,(Q113-$J$107)*$K$108+($J$107-$H$107)*$I$108+($H$107-$F$107)*$G$108+($F$107-$D$107)*$E$108+$D$107*$C$108))))</f>
        <v>17820.599999999999</v>
      </c>
      <c r="R114" s="4">
        <f t="shared" ref="R114" si="69">IF(R113&lt;$D$107,$C$108*R113,IF(R113&lt;$F$107,(R113-$D$107)*$E$108+$D$107*$C$108,IF(R113&lt;$H$107,(R113-$F$107)*$G$108+($F$107-$D$107)*$E$108+$D$107*$C$108,IF(R113&lt;$J$107,(R113-$H$107)*$I$108+($H$107-$F$107)*$G$108+($F$107-$D$107)*$E$108+$D$107*$C$108,(R113-$J$107)*$K$108+($J$107-$H$107)*$I$108+($H$107-$F$107)*$G$108+($F$107-$D$107)*$E$108+$D$107*$C$108))))</f>
        <v>17870.599999999999</v>
      </c>
      <c r="S114" s="4">
        <f t="shared" ref="S114" si="70">IF(S113&lt;$D$107,$C$108*S113,IF(S113&lt;$F$107,(S113-$D$107)*$E$108+$D$107*$C$108,IF(S113&lt;$H$107,(S113-$F$107)*$G$108+($F$107-$D$107)*$E$108+$D$107*$C$108,IF(S113&lt;$J$107,(S113-$H$107)*$I$108+($H$107-$F$107)*$G$108+($F$107-$D$107)*$E$108+$D$107*$C$108,(S113-$J$107)*$K$108+($J$107-$H$107)*$I$108+($H$107-$F$107)*$G$108+($F$107-$D$107)*$E$108+$D$107*$C$108))))</f>
        <v>25547.4</v>
      </c>
      <c r="T114" s="4">
        <f t="shared" ref="T114" si="71">IF(T113&lt;$D$107,$C$108*T113,IF(T113&lt;$F$107,(T113-$D$107)*$E$108+$D$107*$C$108,IF(T113&lt;$H$107,(T113-$F$107)*$G$108+($F$107-$D$107)*$E$108+$D$107*$C$108,IF(T113&lt;$J$107,(T113-$H$107)*$I$108+($H$107-$F$107)*$G$108+($F$107-$D$107)*$E$108+$D$107*$C$108,(T113-$J$107)*$K$108+($J$107-$H$107)*$I$108+($H$107-$F$107)*$G$108+($F$107-$D$107)*$E$108+$D$107*$C$108))))</f>
        <v>25617.4</v>
      </c>
      <c r="U114" s="4">
        <f t="shared" ref="U114" si="72">IF(U113&lt;$D$107,$C$108*U113,IF(U113&lt;$F$107,(U113-$D$107)*$E$108+$D$107*$C$108,IF(U113&lt;$H$107,(U113-$F$107)*$G$108+($F$107-$D$107)*$E$108+$D$107*$C$108,IF(U113&lt;$J$107,(U113-$H$107)*$I$108+($H$107-$F$107)*$G$108+($F$107-$D$107)*$E$108+$D$107*$C$108,(U113-$J$107)*$K$108+($J$107-$H$107)*$I$108+($H$107-$F$107)*$G$108+($F$107-$D$107)*$E$108+$D$107*$C$108))))</f>
        <v>58538.96</v>
      </c>
      <c r="V114" s="4">
        <f t="shared" ref="V114" si="73">IF(V113&lt;$D$107,$C$108*V113,IF(V113&lt;$F$107,(V113-$D$107)*$E$108+$D$107*$C$108,IF(V113&lt;$H$107,(V113-$F$107)*$G$108+($F$107-$D$107)*$E$108+$D$107*$C$108,IF(V113&lt;$J$107,(V113-$H$107)*$I$108+($H$107-$F$107)*$G$108+($F$107-$D$107)*$E$108+$D$107*$C$108,(V113-$J$107)*$K$108+($J$107-$H$107)*$I$108+($H$107-$F$107)*$G$108+($F$107-$D$107)*$E$108+$D$107*$C$108))))</f>
        <v>58608.959999999999</v>
      </c>
    </row>
    <row r="115" spans="1:22" x14ac:dyDescent="0.35">
      <c r="B115" t="s">
        <v>190</v>
      </c>
      <c r="C115" s="4">
        <f>D114-C114</f>
        <v>0</v>
      </c>
      <c r="D115" s="4"/>
      <c r="E115" s="4">
        <f t="shared" ref="E115:U115" si="74">F114-E114</f>
        <v>36</v>
      </c>
      <c r="F115" s="4"/>
      <c r="G115" s="4">
        <f t="shared" si="74"/>
        <v>36</v>
      </c>
      <c r="H115" s="4"/>
      <c r="I115" s="4">
        <f t="shared" si="74"/>
        <v>36</v>
      </c>
      <c r="J115" s="4"/>
      <c r="K115" s="4">
        <f t="shared" si="74"/>
        <v>40</v>
      </c>
      <c r="L115" s="4"/>
      <c r="M115" s="4">
        <f t="shared" si="74"/>
        <v>40</v>
      </c>
      <c r="N115" s="4"/>
      <c r="O115" s="4">
        <f t="shared" si="74"/>
        <v>50</v>
      </c>
      <c r="P115" s="4"/>
      <c r="Q115" s="4">
        <f t="shared" si="74"/>
        <v>50</v>
      </c>
      <c r="R115" s="4"/>
      <c r="S115" s="4">
        <f t="shared" si="74"/>
        <v>70</v>
      </c>
      <c r="T115" s="4"/>
      <c r="U115" s="4">
        <f t="shared" si="74"/>
        <v>70</v>
      </c>
      <c r="V115" s="4"/>
    </row>
    <row r="116" spans="1:22" x14ac:dyDescent="0.35">
      <c r="B116" t="s">
        <v>239</v>
      </c>
      <c r="C116">
        <f>-'BIDyn light'!D4*100</f>
        <v>4.3999999999999995</v>
      </c>
      <c r="E116">
        <f t="shared" ref="E116:U116" si="75">$C$116</f>
        <v>4.3999999999999995</v>
      </c>
      <c r="G116">
        <f t="shared" si="75"/>
        <v>4.3999999999999995</v>
      </c>
      <c r="I116">
        <f t="shared" si="75"/>
        <v>4.3999999999999995</v>
      </c>
      <c r="K116">
        <f t="shared" si="75"/>
        <v>4.3999999999999995</v>
      </c>
      <c r="M116">
        <f t="shared" si="75"/>
        <v>4.3999999999999995</v>
      </c>
      <c r="O116">
        <f t="shared" si="75"/>
        <v>4.3999999999999995</v>
      </c>
      <c r="P116">
        <f t="shared" si="75"/>
        <v>4.3999999999999995</v>
      </c>
      <c r="Q116">
        <f t="shared" si="75"/>
        <v>4.3999999999999995</v>
      </c>
      <c r="S116">
        <f t="shared" si="75"/>
        <v>4.3999999999999995</v>
      </c>
      <c r="U116">
        <f t="shared" si="75"/>
        <v>4.3999999999999995</v>
      </c>
    </row>
    <row r="117" spans="1:22" x14ac:dyDescent="0.35">
      <c r="B117" t="s">
        <v>240</v>
      </c>
      <c r="C117" s="4">
        <f>C115+C116</f>
        <v>4.3999999999999995</v>
      </c>
      <c r="D117" s="4"/>
      <c r="E117" s="4">
        <f t="shared" ref="E117:U117" si="76">E115+E116</f>
        <v>40.4</v>
      </c>
      <c r="F117" s="4"/>
      <c r="G117" s="4">
        <f t="shared" si="76"/>
        <v>40.4</v>
      </c>
      <c r="H117" s="4"/>
      <c r="I117" s="4">
        <f t="shared" si="76"/>
        <v>40.4</v>
      </c>
      <c r="J117" s="4"/>
      <c r="K117" s="4">
        <f t="shared" si="76"/>
        <v>44.4</v>
      </c>
      <c r="L117" s="4"/>
      <c r="M117" s="4">
        <f t="shared" si="76"/>
        <v>44.4</v>
      </c>
      <c r="N117" s="4"/>
      <c r="O117" s="4">
        <f t="shared" si="76"/>
        <v>54.4</v>
      </c>
      <c r="P117" s="4"/>
      <c r="Q117" s="4">
        <f t="shared" si="76"/>
        <v>54.4</v>
      </c>
      <c r="R117" s="4"/>
      <c r="S117" s="4">
        <f t="shared" si="76"/>
        <v>74.400000000000006</v>
      </c>
      <c r="T117" s="4"/>
      <c r="U117" s="4">
        <f t="shared" si="76"/>
        <v>74.400000000000006</v>
      </c>
    </row>
    <row r="120" spans="1:22" x14ac:dyDescent="0.35">
      <c r="A120" t="s">
        <v>264</v>
      </c>
      <c r="B120" t="str">
        <f>'BIDyn-20'!A110</f>
        <v>Grensbedrag</v>
      </c>
      <c r="E120">
        <f>'BIDyn-20'!C110</f>
        <v>12600</v>
      </c>
      <c r="I120">
        <f>'BIDyn-20'!E110</f>
        <v>30000</v>
      </c>
      <c r="M120">
        <f>'BIDyn-20'!G110</f>
        <v>40000</v>
      </c>
      <c r="Q120">
        <f>'BIDyn-20'!I110</f>
        <v>65000</v>
      </c>
    </row>
    <row r="121" spans="1:22" x14ac:dyDescent="0.35">
      <c r="B121" t="str">
        <f>'BIDyn-20'!A111</f>
        <v>Heffingspercentage</v>
      </c>
      <c r="G121">
        <f>'BIDyn-20'!D111</f>
        <v>0.32</v>
      </c>
      <c r="K121">
        <f>'BIDyn-20'!F111</f>
        <v>0.42</v>
      </c>
      <c r="O121">
        <f>'BIDyn-20'!H111</f>
        <v>0.52</v>
      </c>
      <c r="S121">
        <f>'BIDyn-20'!J111</f>
        <v>0.62</v>
      </c>
    </row>
    <row r="122" spans="1:22" x14ac:dyDescent="0.35">
      <c r="B122" t="str">
        <f>'BIDyn-20'!A112</f>
        <v>IB-Bedrag op grens</v>
      </c>
      <c r="E122">
        <v>0</v>
      </c>
      <c r="I122">
        <f>'BIDyn-20'!E112</f>
        <v>5568</v>
      </c>
      <c r="M122">
        <f>'BIDyn-20'!G112</f>
        <v>9768</v>
      </c>
      <c r="Q122">
        <f>'BIDyn-20'!I112</f>
        <v>22768</v>
      </c>
    </row>
    <row r="124" spans="1:22" x14ac:dyDescent="0.35">
      <c r="B124" t="str">
        <f>'BIDyn-20'!A114</f>
        <v>WERKENDEN</v>
      </c>
    </row>
    <row r="125" spans="1:22" x14ac:dyDescent="0.35">
      <c r="B125" t="str">
        <f>'BIDyn-20'!A115</f>
        <v>Deciel</v>
      </c>
      <c r="C125">
        <f>'BIDyn-20'!B115</f>
        <v>1</v>
      </c>
      <c r="E125">
        <v>2</v>
      </c>
      <c r="G125">
        <v>3</v>
      </c>
      <c r="I125">
        <f>'BIDyn-20'!E115</f>
        <v>4</v>
      </c>
      <c r="K125">
        <f>'BIDyn-20'!F115</f>
        <v>5</v>
      </c>
      <c r="M125">
        <f>'BIDyn-20'!G115</f>
        <v>6</v>
      </c>
      <c r="O125">
        <f>'BIDyn-20'!H115</f>
        <v>7</v>
      </c>
      <c r="Q125">
        <f>'BIDyn-20'!I115</f>
        <v>8</v>
      </c>
      <c r="S125">
        <f>'BIDyn-20'!J115</f>
        <v>9</v>
      </c>
      <c r="U125">
        <f>'BIDyn-20'!K115</f>
        <v>10</v>
      </c>
    </row>
    <row r="126" spans="1:22" x14ac:dyDescent="0.35">
      <c r="B126" t="str">
        <f>'BIDyn-20'!A116</f>
        <v>Midden deciel + Basisinkomen dyn</v>
      </c>
      <c r="C126">
        <f>'BIDyn-20'!B116</f>
        <v>3900</v>
      </c>
      <c r="D126">
        <f>C126+100</f>
        <v>4000</v>
      </c>
      <c r="E126">
        <f>'BIDyn-20'!C116</f>
        <v>16169.333333333334</v>
      </c>
      <c r="F126">
        <f>E126+100</f>
        <v>16269.333333333334</v>
      </c>
      <c r="G126">
        <f>'BIDyn-20'!D116</f>
        <v>22084</v>
      </c>
      <c r="H126">
        <f>G126+100</f>
        <v>22184</v>
      </c>
      <c r="I126">
        <f>'BIDyn-20'!E116</f>
        <v>26140.333333333336</v>
      </c>
      <c r="J126">
        <f>I126+100</f>
        <v>26240.333333333336</v>
      </c>
      <c r="K126">
        <f>'BIDyn-20'!F116</f>
        <v>31800.333333333336</v>
      </c>
      <c r="L126">
        <f>K126+100</f>
        <v>31900.333333333336</v>
      </c>
      <c r="M126">
        <f>'BIDyn-20'!G116</f>
        <v>38309.333333333336</v>
      </c>
      <c r="N126">
        <f>M126+100</f>
        <v>38409.333333333336</v>
      </c>
      <c r="O126">
        <f>'BIDyn-20'!H116</f>
        <v>46139</v>
      </c>
      <c r="P126">
        <f>O126+100</f>
        <v>46239</v>
      </c>
      <c r="Q126">
        <f>'BIDyn-20'!I116</f>
        <v>55383.666666666664</v>
      </c>
      <c r="R126">
        <f>Q126+100</f>
        <v>55483.666666666664</v>
      </c>
      <c r="S126">
        <f>'BIDyn-20'!J116</f>
        <v>69345</v>
      </c>
      <c r="T126">
        <f>S126+100</f>
        <v>69445</v>
      </c>
      <c r="U126">
        <f>'BIDyn-20'!K116</f>
        <v>115851.33333333333</v>
      </c>
      <c r="V126">
        <f>U126+100</f>
        <v>115951.33333333333</v>
      </c>
    </row>
    <row r="127" spans="1:22" x14ac:dyDescent="0.35">
      <c r="B127" t="str">
        <f>'BIDyn-20'!A117</f>
        <v>IB</v>
      </c>
      <c r="C127">
        <f>'BIDyn-20'!B117</f>
        <v>0</v>
      </c>
      <c r="D127" s="4">
        <f>IF(D126&lt;$E$120,$C$121*D126,IF(D126&lt;$I$120,(D126-$E$120)*$G$121+$E$120*$C$121,IF(D126&lt;$M$120,(D126-$I$120)*$K$121+($I$120-$E$120)*$G$121+$E$120*$C$121,IF(D126&lt;$Q$120,(D126-$M$120)*$O$121+($M$120-$I$120)*$K$121+($I$120-$E$120)*$G$121+$E$120*$C$121,(D126-$Q$120)*$S$121+($Q$120-$M$120)*$O$121+($M$120-$I$120)*$K$121+($I$120-$E$120)*$G$121+$E$120*$C$121))))</f>
        <v>0</v>
      </c>
      <c r="E127" s="4">
        <f>IF(E126&lt;$E$120,$C$121*E126,IF(E126&lt;$I$120,(E126-$E$120)*$G$121+$E$120*$C$121,IF(E126&lt;$M$120,(E126-$I$120)*$K$121+($I$120-$E$120)*$G$121+$E$120*$C$121,IF(E126&lt;$Q$120,(E126-$M$120)*$O$121+($M$120-$I$120)*$K$121+($I$120-$E$120)*$G$121+$E$120*$C$121,(E126-$Q$120)*$S$121+($Q$120-$M$120)*$O$121+($M$120-$I$120)*$K$121+($I$120-$E$120)*$G$121+$E$120*$C$121))))</f>
        <v>1142.186666666667</v>
      </c>
      <c r="F127" s="4">
        <f t="shared" ref="F127:V127" si="77">IF(F126&lt;$E$120,$C$121*F126,IF(F126&lt;$I$120,(F126-$E$120)*$G$121+$E$120*$C$121,IF(F126&lt;$M$120,(F126-$I$120)*$K$121+($I$120-$E$120)*$G$121+$E$120*$C$121,IF(F126&lt;$Q$120,(F126-$M$120)*$O$121+($M$120-$I$120)*$K$121+($I$120-$E$120)*$G$121+$E$120*$C$121,(F126-$Q$120)*$S$121+($Q$120-$M$120)*$O$121+($M$120-$I$120)*$K$121+($I$120-$E$120)*$G$121+$E$120*$C$121))))</f>
        <v>1174.186666666667</v>
      </c>
      <c r="G127" s="4">
        <f t="shared" si="77"/>
        <v>3034.88</v>
      </c>
      <c r="H127" s="4">
        <f t="shared" si="77"/>
        <v>3066.88</v>
      </c>
      <c r="I127" s="4">
        <f t="shared" si="77"/>
        <v>4332.9066666666677</v>
      </c>
      <c r="J127" s="4">
        <f t="shared" si="77"/>
        <v>4364.9066666666677</v>
      </c>
      <c r="K127" s="4">
        <f t="shared" si="77"/>
        <v>6324.1400000000012</v>
      </c>
      <c r="L127" s="4">
        <f t="shared" si="77"/>
        <v>6366.1400000000012</v>
      </c>
      <c r="M127" s="4">
        <f t="shared" si="77"/>
        <v>9057.9200000000019</v>
      </c>
      <c r="N127" s="4">
        <f t="shared" si="77"/>
        <v>9099.9200000000019</v>
      </c>
      <c r="O127" s="4">
        <f t="shared" si="77"/>
        <v>12960.28</v>
      </c>
      <c r="P127" s="4">
        <f t="shared" si="77"/>
        <v>13012.28</v>
      </c>
      <c r="Q127" s="4">
        <f t="shared" si="77"/>
        <v>17767.506666666664</v>
      </c>
      <c r="R127" s="4">
        <f t="shared" si="77"/>
        <v>17819.506666666664</v>
      </c>
      <c r="S127" s="4">
        <f t="shared" si="77"/>
        <v>25461.9</v>
      </c>
      <c r="T127" s="4">
        <f t="shared" si="77"/>
        <v>25523.9</v>
      </c>
      <c r="U127" s="4">
        <f t="shared" si="77"/>
        <v>54295.82666666666</v>
      </c>
      <c r="V127" s="4">
        <f t="shared" si="77"/>
        <v>54357.82666666666</v>
      </c>
    </row>
    <row r="128" spans="1:22" x14ac:dyDescent="0.35">
      <c r="B128" t="s">
        <v>265</v>
      </c>
      <c r="C128" s="4">
        <f t="shared" ref="C128" si="78">D127-C127</f>
        <v>0</v>
      </c>
      <c r="D128" s="4"/>
      <c r="E128" s="4">
        <f>F127-E127</f>
        <v>32</v>
      </c>
      <c r="F128" s="4"/>
      <c r="G128" s="4">
        <f t="shared" ref="G128:U128" si="79">H127-G127</f>
        <v>32</v>
      </c>
      <c r="H128" s="4"/>
      <c r="I128" s="4">
        <f t="shared" si="79"/>
        <v>32</v>
      </c>
      <c r="J128" s="4"/>
      <c r="K128" s="4">
        <f t="shared" si="79"/>
        <v>42</v>
      </c>
      <c r="L128" s="4"/>
      <c r="M128" s="4">
        <f t="shared" si="79"/>
        <v>42</v>
      </c>
      <c r="N128" s="4"/>
      <c r="O128" s="4">
        <f t="shared" si="79"/>
        <v>52</v>
      </c>
      <c r="P128" s="4"/>
      <c r="Q128" s="4">
        <f t="shared" si="79"/>
        <v>52</v>
      </c>
      <c r="R128" s="4"/>
      <c r="S128" s="4">
        <f t="shared" si="79"/>
        <v>62</v>
      </c>
      <c r="T128" s="4"/>
      <c r="U128" s="4">
        <f t="shared" si="79"/>
        <v>62</v>
      </c>
    </row>
    <row r="129" spans="1:22" x14ac:dyDescent="0.35">
      <c r="B129" t="s">
        <v>266</v>
      </c>
      <c r="C129" s="16">
        <f>'BIDyn-20'!$D$4*-100</f>
        <v>5.6666666666666661</v>
      </c>
      <c r="D129" s="16"/>
      <c r="E129" s="16">
        <f>'BIDyn-20'!$D$4*-100</f>
        <v>5.6666666666666661</v>
      </c>
      <c r="F129" s="16"/>
      <c r="G129" s="16">
        <f>'BIDyn-20'!$D$4*-100</f>
        <v>5.6666666666666661</v>
      </c>
      <c r="H129" s="16"/>
      <c r="I129" s="16">
        <f>'BIDyn-20'!$D$4*-100</f>
        <v>5.6666666666666661</v>
      </c>
      <c r="J129" s="16"/>
      <c r="K129" s="16">
        <f>'BIDyn-20'!$D$4*-100</f>
        <v>5.6666666666666661</v>
      </c>
      <c r="L129" s="16"/>
      <c r="M129" s="16">
        <f>'BIDyn-20'!$D$4*-100</f>
        <v>5.6666666666666661</v>
      </c>
      <c r="N129" s="16"/>
      <c r="O129" s="16">
        <f>'BIDyn-20'!$D$4*-100</f>
        <v>5.6666666666666661</v>
      </c>
      <c r="P129" s="16"/>
      <c r="Q129" s="16">
        <f>'BIDyn-20'!$D$4*-100</f>
        <v>5.6666666666666661</v>
      </c>
      <c r="R129" s="16"/>
      <c r="S129" s="16">
        <f>'BIDyn-20'!$D$4*-100</f>
        <v>5.6666666666666661</v>
      </c>
      <c r="T129" s="16"/>
      <c r="U129" s="16">
        <f>'BIDyn-20'!$D$4*-100</f>
        <v>5.6666666666666661</v>
      </c>
    </row>
    <row r="130" spans="1:22" x14ac:dyDescent="0.35">
      <c r="B130" t="s">
        <v>240</v>
      </c>
      <c r="C130" s="16">
        <f>C129+C128</f>
        <v>5.6666666666666661</v>
      </c>
      <c r="D130" s="16"/>
      <c r="E130" s="16">
        <f t="shared" ref="E130:U130" si="80">E129+E128</f>
        <v>37.666666666666664</v>
      </c>
      <c r="F130" s="16"/>
      <c r="G130" s="16">
        <f t="shared" si="80"/>
        <v>37.666666666666664</v>
      </c>
      <c r="H130" s="16"/>
      <c r="I130" s="16">
        <f t="shared" si="80"/>
        <v>37.666666666666664</v>
      </c>
      <c r="J130" s="16"/>
      <c r="K130" s="16">
        <f t="shared" si="80"/>
        <v>47.666666666666664</v>
      </c>
      <c r="L130" s="16"/>
      <c r="M130" s="16">
        <f t="shared" si="80"/>
        <v>47.666666666666664</v>
      </c>
      <c r="N130" s="16"/>
      <c r="O130" s="16">
        <f t="shared" si="80"/>
        <v>57.666666666666664</v>
      </c>
      <c r="P130" s="16"/>
      <c r="Q130" s="16">
        <f t="shared" si="80"/>
        <v>57.666666666666664</v>
      </c>
      <c r="R130" s="16"/>
      <c r="S130" s="16">
        <f t="shared" si="80"/>
        <v>67.666666666666671</v>
      </c>
      <c r="T130" s="16"/>
      <c r="U130" s="16">
        <f t="shared" si="80"/>
        <v>67.666666666666671</v>
      </c>
    </row>
    <row r="132" spans="1:22" x14ac:dyDescent="0.35">
      <c r="A132" t="s">
        <v>267</v>
      </c>
      <c r="B132" t="str">
        <f>'BIDyn-40'!A110</f>
        <v>Grensbedrag</v>
      </c>
      <c r="D132">
        <f>'BIDyn-40'!C110</f>
        <v>12600</v>
      </c>
      <c r="F132">
        <f>'BIDyn-40'!E110</f>
        <v>30000</v>
      </c>
      <c r="H132">
        <f>'BIDyn-40'!G110</f>
        <v>41000</v>
      </c>
      <c r="J132">
        <f>'BIDyn-40'!I110</f>
        <v>65000</v>
      </c>
    </row>
    <row r="133" spans="1:22" x14ac:dyDescent="0.35">
      <c r="B133" t="str">
        <f>'BIDyn-40'!A111</f>
        <v>Heffingspercentage</v>
      </c>
      <c r="C133">
        <f>'BIDyn-40'!B111</f>
        <v>0</v>
      </c>
      <c r="E133">
        <f>'BIDyn-40'!D111</f>
        <v>0.3</v>
      </c>
      <c r="G133">
        <f>'BIDyn-40'!F111</f>
        <v>0.4</v>
      </c>
      <c r="I133">
        <f>'BIDyn-40'!H111</f>
        <v>0.5</v>
      </c>
      <c r="K133">
        <f>'BIDyn-40'!J111</f>
        <v>0.6</v>
      </c>
    </row>
    <row r="134" spans="1:22" x14ac:dyDescent="0.35">
      <c r="B134" t="str">
        <f>'BIDyn-40'!A112</f>
        <v>IB-Bedrag op grens</v>
      </c>
      <c r="F134">
        <f>'BIDyn-40'!E112</f>
        <v>5220</v>
      </c>
      <c r="H134">
        <f>'BIDyn-40'!G112</f>
        <v>9620</v>
      </c>
      <c r="J134">
        <f>'BIDyn-40'!I112</f>
        <v>21620</v>
      </c>
    </row>
    <row r="136" spans="1:22" x14ac:dyDescent="0.35">
      <c r="B136" t="str">
        <f>'BIDyn-40'!A114</f>
        <v>WERKENDEN</v>
      </c>
    </row>
    <row r="137" spans="1:22" x14ac:dyDescent="0.35">
      <c r="B137" t="str">
        <f>'BIDyn-40'!A115</f>
        <v>Deciel</v>
      </c>
      <c r="C137">
        <f>'BIDyn-40'!B115</f>
        <v>1</v>
      </c>
      <c r="E137">
        <f>'BIDyn-40'!C115</f>
        <v>2</v>
      </c>
      <c r="G137">
        <f>'BIDyn-40'!D115</f>
        <v>3</v>
      </c>
      <c r="I137">
        <f>'BIDyn-40'!E115</f>
        <v>4</v>
      </c>
      <c r="K137">
        <f>'BIDyn-40'!F115</f>
        <v>5</v>
      </c>
      <c r="M137">
        <f>'BIDyn-40'!G115</f>
        <v>6</v>
      </c>
      <c r="O137">
        <f>'BIDyn-40'!H115</f>
        <v>7</v>
      </c>
      <c r="Q137">
        <f>'BIDyn-40'!I115</f>
        <v>8</v>
      </c>
      <c r="S137">
        <f>'BIDyn-40'!J115</f>
        <v>9</v>
      </c>
      <c r="U137">
        <f>'BIDyn-40'!K115</f>
        <v>10</v>
      </c>
    </row>
    <row r="138" spans="1:22" x14ac:dyDescent="0.35">
      <c r="B138" t="str">
        <f>'BIDyn-40'!A116</f>
        <v>Midden deciel + Basisinkomen dyn</v>
      </c>
      <c r="C138">
        <f>'BIDyn-40'!B116</f>
        <v>3900</v>
      </c>
      <c r="D138">
        <f>C138+100</f>
        <v>4000</v>
      </c>
      <c r="E138">
        <f>'BIDyn-40'!C116</f>
        <v>18042.666666666668</v>
      </c>
      <c r="F138">
        <f>E138+100</f>
        <v>18142.666666666668</v>
      </c>
      <c r="G138">
        <f>'BIDyn-40'!D116</f>
        <v>24344</v>
      </c>
      <c r="H138">
        <f>G138+100</f>
        <v>24444</v>
      </c>
      <c r="I138">
        <f>'BIDyn-40'!E116</f>
        <v>28328.666666666664</v>
      </c>
      <c r="J138">
        <f>I138+100</f>
        <v>28428.666666666664</v>
      </c>
      <c r="K138">
        <f>'BIDyn-40'!F116</f>
        <v>33888.666666666664</v>
      </c>
      <c r="L138">
        <f>K138+100</f>
        <v>33988.666666666664</v>
      </c>
      <c r="M138">
        <f>'BIDyn-40'!G116</f>
        <v>40282.666666666664</v>
      </c>
      <c r="N138">
        <f>M138+100</f>
        <v>40382.666666666664</v>
      </c>
      <c r="O138">
        <f>'BIDyn-40'!H116</f>
        <v>47974</v>
      </c>
      <c r="P138">
        <f>O138+100</f>
        <v>48074</v>
      </c>
      <c r="Q138">
        <f>'BIDyn-40'!I116</f>
        <v>57055.333333333336</v>
      </c>
      <c r="R138">
        <f>Q138+100</f>
        <v>57155.333333333336</v>
      </c>
      <c r="S138">
        <f>'BIDyn-40'!J116</f>
        <v>70770</v>
      </c>
      <c r="T138">
        <f>S138+100</f>
        <v>70870</v>
      </c>
      <c r="U138">
        <f>'BIDyn-40'!K116</f>
        <v>116454.66666666667</v>
      </c>
      <c r="V138">
        <f>U138+100</f>
        <v>116554.66666666667</v>
      </c>
    </row>
    <row r="139" spans="1:22" x14ac:dyDescent="0.35">
      <c r="B139" t="s">
        <v>50</v>
      </c>
      <c r="C139">
        <f>IF(C138&lt;$D$132,$C$133*C138,IF(C138&lt;$F$132,(C138-$D$132)*$E$133+$D$132*$C$133,IF(C138&lt;$H$132,(C138-$F$132)*$G$133+($F$132-$D$132)*$E$133+$D$132*$C$133,IF(C138&lt;$J$132,(C138-$H$132)*$I$133+($H$132-$F$132)*$G$133+($F$132-$D$132)*$E$133+$D$132*$C$133,(C138-$J$132)*$K$133+($J$132-$H$132)*$I$133+($H$132-$F$132)*$G$133+($F$132-$D$132)*$E$133+$D$132*$C$133))))</f>
        <v>0</v>
      </c>
      <c r="D139">
        <f t="shared" ref="D139:V139" si="81">IF(D138&lt;$D$132,$C$133*D138,IF(D138&lt;$F$132,(D138-$D$132)*$E$133+$D$132*$C$133,IF(D138&lt;$H$132,(D138-$F$132)*$G$133+($F$132-$D$132)*$E$133+$D$132*$C$133,IF(D138&lt;$J$132,(D138-$H$132)*$I$133+($H$132-$F$132)*$G$133+($F$132-$D$132)*$E$133+$D$132*$C$133,(D138-$J$132)*$K$133+($J$132-$H$132)*$I$133+($H$132-$F$132)*$G$133+($F$132-$D$132)*$E$133+$D$132*$C$133))))</f>
        <v>0</v>
      </c>
      <c r="E139">
        <f t="shared" si="81"/>
        <v>1632.8000000000004</v>
      </c>
      <c r="F139">
        <f t="shared" si="81"/>
        <v>1662.8000000000004</v>
      </c>
      <c r="G139">
        <f t="shared" si="81"/>
        <v>3523.2</v>
      </c>
      <c r="H139">
        <f t="shared" si="81"/>
        <v>3553.2</v>
      </c>
      <c r="I139">
        <f t="shared" si="81"/>
        <v>4718.5999999999995</v>
      </c>
      <c r="J139">
        <f t="shared" si="81"/>
        <v>4748.5999999999995</v>
      </c>
      <c r="K139">
        <f t="shared" si="81"/>
        <v>6775.4666666666653</v>
      </c>
      <c r="L139">
        <f t="shared" si="81"/>
        <v>6815.4666666666653</v>
      </c>
      <c r="M139">
        <f t="shared" si="81"/>
        <v>9333.0666666666657</v>
      </c>
      <c r="N139">
        <f t="shared" si="81"/>
        <v>9373.0666666666657</v>
      </c>
      <c r="O139">
        <f t="shared" si="81"/>
        <v>13107</v>
      </c>
      <c r="P139">
        <f t="shared" si="81"/>
        <v>13157</v>
      </c>
      <c r="Q139">
        <f t="shared" si="81"/>
        <v>17647.666666666668</v>
      </c>
      <c r="R139">
        <f t="shared" si="81"/>
        <v>17697.666666666668</v>
      </c>
      <c r="S139">
        <f t="shared" si="81"/>
        <v>25082</v>
      </c>
      <c r="T139">
        <f t="shared" si="81"/>
        <v>25142</v>
      </c>
      <c r="U139">
        <f t="shared" si="81"/>
        <v>52492.800000000003</v>
      </c>
      <c r="V139">
        <f t="shared" si="81"/>
        <v>52552.800000000003</v>
      </c>
    </row>
    <row r="140" spans="1:22" x14ac:dyDescent="0.35">
      <c r="B140" t="s">
        <v>265</v>
      </c>
      <c r="C140">
        <f>D139-C139</f>
        <v>0</v>
      </c>
      <c r="E140">
        <f t="shared" ref="E140:U140" si="82">F139-E139</f>
        <v>30</v>
      </c>
      <c r="G140">
        <f t="shared" si="82"/>
        <v>30</v>
      </c>
      <c r="I140">
        <f t="shared" si="82"/>
        <v>30</v>
      </c>
      <c r="K140">
        <f t="shared" si="82"/>
        <v>40</v>
      </c>
      <c r="M140">
        <f t="shared" si="82"/>
        <v>40</v>
      </c>
      <c r="O140">
        <f t="shared" si="82"/>
        <v>50</v>
      </c>
      <c r="Q140">
        <f t="shared" si="82"/>
        <v>50</v>
      </c>
      <c r="S140">
        <f t="shared" si="82"/>
        <v>60</v>
      </c>
      <c r="U140">
        <f t="shared" si="82"/>
        <v>60</v>
      </c>
    </row>
    <row r="141" spans="1:22" x14ac:dyDescent="0.35">
      <c r="B141" t="s">
        <v>268</v>
      </c>
      <c r="C141">
        <f>-'BIDyn-40'!$D$4*100</f>
        <v>7.333333333333333</v>
      </c>
      <c r="E141">
        <f>-'BIDyn-40'!$D$4*100</f>
        <v>7.333333333333333</v>
      </c>
      <c r="G141">
        <f>-'BIDyn-40'!$D$4*100</f>
        <v>7.333333333333333</v>
      </c>
      <c r="I141">
        <f>-'BIDyn-40'!$D$4*100</f>
        <v>7.333333333333333</v>
      </c>
      <c r="K141">
        <f>-'BIDyn-40'!$D$4*100</f>
        <v>7.333333333333333</v>
      </c>
      <c r="M141">
        <f>-'BIDyn-40'!$D$4*100</f>
        <v>7.333333333333333</v>
      </c>
      <c r="O141">
        <f>-'BIDyn-40'!$D$4*100</f>
        <v>7.333333333333333</v>
      </c>
      <c r="Q141">
        <f>-'BIDyn-40'!$D$4*100</f>
        <v>7.333333333333333</v>
      </c>
      <c r="S141">
        <f>-'BIDyn-40'!$D$4*100</f>
        <v>7.333333333333333</v>
      </c>
      <c r="U141">
        <f>-'BIDyn-40'!$D$4*100</f>
        <v>7.333333333333333</v>
      </c>
    </row>
    <row r="142" spans="1:22" x14ac:dyDescent="0.35">
      <c r="B142" t="s">
        <v>249</v>
      </c>
      <c r="C142">
        <f>C140+C141</f>
        <v>7.333333333333333</v>
      </c>
      <c r="E142">
        <f t="shared" ref="E142:U142" si="83">E140+E141</f>
        <v>37.333333333333336</v>
      </c>
      <c r="G142">
        <f t="shared" si="83"/>
        <v>37.333333333333336</v>
      </c>
      <c r="I142">
        <f t="shared" si="83"/>
        <v>37.333333333333336</v>
      </c>
      <c r="K142">
        <f t="shared" si="83"/>
        <v>47.333333333333336</v>
      </c>
      <c r="M142">
        <f t="shared" si="83"/>
        <v>47.333333333333336</v>
      </c>
      <c r="O142">
        <f t="shared" si="83"/>
        <v>57.333333333333336</v>
      </c>
      <c r="Q142">
        <f t="shared" si="83"/>
        <v>57.333333333333336</v>
      </c>
      <c r="S142">
        <f t="shared" si="83"/>
        <v>67.333333333333329</v>
      </c>
      <c r="U142">
        <f t="shared" si="83"/>
        <v>67.333333333333329</v>
      </c>
    </row>
    <row r="144" spans="1:22" ht="19.5" customHeight="1" x14ac:dyDescent="0.35"/>
    <row r="146" spans="1:22" x14ac:dyDescent="0.35">
      <c r="A146" t="s">
        <v>195</v>
      </c>
      <c r="B146" t="s">
        <v>220</v>
      </c>
    </row>
    <row r="147" spans="1:22" x14ac:dyDescent="0.35">
      <c r="B147" t="s">
        <v>19</v>
      </c>
      <c r="C147">
        <v>1</v>
      </c>
      <c r="D147">
        <v>2</v>
      </c>
      <c r="E147">
        <v>3</v>
      </c>
      <c r="F147">
        <v>4</v>
      </c>
      <c r="G147">
        <v>5</v>
      </c>
      <c r="H147">
        <v>6</v>
      </c>
      <c r="I147">
        <v>7</v>
      </c>
      <c r="J147">
        <v>8</v>
      </c>
      <c r="K147">
        <v>9</v>
      </c>
      <c r="L147">
        <v>10</v>
      </c>
    </row>
    <row r="148" spans="1:22" x14ac:dyDescent="0.35">
      <c r="B148" t="str">
        <f>A23</f>
        <v>CPB-Nibud</v>
      </c>
      <c r="C148" s="4">
        <f>C32</f>
        <v>0</v>
      </c>
      <c r="D148" s="4">
        <f>E32</f>
        <v>68.595664103718235</v>
      </c>
      <c r="E148" s="4">
        <f>G32</f>
        <v>73.775104276583335</v>
      </c>
      <c r="F148" s="4">
        <f>I32</f>
        <v>73.775104276584244</v>
      </c>
      <c r="G148" s="4">
        <f>K32</f>
        <v>73.775104276584244</v>
      </c>
      <c r="H148" s="4">
        <f>M32</f>
        <v>56.716000000000349</v>
      </c>
      <c r="I148" s="4">
        <f>O32</f>
        <v>64.371999999999389</v>
      </c>
      <c r="J148" s="4">
        <f>Q32</f>
        <v>64.372000000003027</v>
      </c>
      <c r="K148" s="4">
        <f>S32</f>
        <v>64.372000000003027</v>
      </c>
      <c r="L148" s="4">
        <f>U32</f>
        <v>70.400000000008731</v>
      </c>
      <c r="V148" s="4"/>
    </row>
    <row r="149" spans="1:22" x14ac:dyDescent="0.35">
      <c r="B149" t="str">
        <f>A34</f>
        <v>AONI</v>
      </c>
      <c r="C149" s="4">
        <f>C43</f>
        <v>0</v>
      </c>
      <c r="D149" s="4">
        <f>E43</f>
        <v>50</v>
      </c>
      <c r="E149" s="4">
        <f>G43</f>
        <v>50</v>
      </c>
      <c r="F149" s="4">
        <f>I43</f>
        <v>50</v>
      </c>
      <c r="G149" s="4">
        <f>K43</f>
        <v>70</v>
      </c>
      <c r="H149" s="4">
        <f>M43</f>
        <v>70</v>
      </c>
      <c r="I149" s="4">
        <f>O43</f>
        <v>70</v>
      </c>
      <c r="J149" s="4">
        <f>Q43</f>
        <v>70</v>
      </c>
      <c r="K149" s="4">
        <f>S43</f>
        <v>85</v>
      </c>
      <c r="L149" s="4">
        <f>U43</f>
        <v>85</v>
      </c>
      <c r="V149" s="4"/>
    </row>
    <row r="150" spans="1:22" x14ac:dyDescent="0.35">
      <c r="B150" t="str">
        <f>A3</f>
        <v>Situatie NU</v>
      </c>
      <c r="C150" s="4">
        <f>C21</f>
        <v>0</v>
      </c>
      <c r="D150" s="4">
        <f>E21</f>
        <v>34.287999999999897</v>
      </c>
      <c r="E150" s="4">
        <f>G21</f>
        <v>33.231552138292173</v>
      </c>
      <c r="F150" s="4">
        <f>I21</f>
        <v>33.231552138292173</v>
      </c>
      <c r="G150" s="4">
        <f>K21</f>
        <v>33.231552138290809</v>
      </c>
      <c r="H150" s="4">
        <f>M21</f>
        <v>41.115999999999985</v>
      </c>
      <c r="I150" s="4">
        <f>O21</f>
        <v>48.772000000000844</v>
      </c>
      <c r="J150" s="4">
        <f>Q21</f>
        <v>48.772000000000844</v>
      </c>
      <c r="K150" s="4">
        <f>S21</f>
        <v>48.771999999997206</v>
      </c>
      <c r="L150" s="4">
        <f>U21</f>
        <v>49.5</v>
      </c>
      <c r="V150" s="4"/>
    </row>
    <row r="151" spans="1:22" x14ac:dyDescent="0.35">
      <c r="B151" t="str">
        <f>A72</f>
        <v>BIDyn</v>
      </c>
      <c r="C151" s="4">
        <f>C90</f>
        <v>8.4</v>
      </c>
      <c r="D151" s="4">
        <f>E90</f>
        <v>39.4</v>
      </c>
      <c r="E151" s="4">
        <f>G90</f>
        <v>39.4</v>
      </c>
      <c r="F151" s="4">
        <f>I90</f>
        <v>39.4</v>
      </c>
      <c r="G151" s="4">
        <f>K90</f>
        <v>46.4</v>
      </c>
      <c r="H151" s="4">
        <f>M90</f>
        <v>46.4</v>
      </c>
      <c r="I151" s="4">
        <f>O90</f>
        <v>58.4</v>
      </c>
      <c r="J151" s="4">
        <f>Q90</f>
        <v>58.4</v>
      </c>
      <c r="K151" s="4">
        <f>S90</f>
        <v>58.4</v>
      </c>
      <c r="L151" s="4">
        <f>U90</f>
        <v>68.400000000000006</v>
      </c>
    </row>
    <row r="152" spans="1:22" x14ac:dyDescent="0.35">
      <c r="B152" t="s">
        <v>267</v>
      </c>
      <c r="C152" s="4">
        <f>C142</f>
        <v>7.333333333333333</v>
      </c>
      <c r="D152" s="4">
        <f>E142</f>
        <v>37.333333333333336</v>
      </c>
      <c r="E152" s="4">
        <f>G142</f>
        <v>37.333333333333336</v>
      </c>
      <c r="F152" s="4">
        <f>I142</f>
        <v>37.333333333333336</v>
      </c>
      <c r="G152" s="4">
        <f>K142</f>
        <v>47.333333333333336</v>
      </c>
      <c r="H152" s="4">
        <f>M142</f>
        <v>47.333333333333336</v>
      </c>
      <c r="I152" s="4">
        <f>O142</f>
        <v>57.333333333333336</v>
      </c>
      <c r="J152" s="4">
        <f>Q142</f>
        <v>57.333333333333336</v>
      </c>
      <c r="K152" s="4">
        <f>S142</f>
        <v>67.333333333333329</v>
      </c>
      <c r="L152" s="4">
        <f>U142</f>
        <v>67.333333333333329</v>
      </c>
    </row>
    <row r="153" spans="1:22" x14ac:dyDescent="0.35">
      <c r="B153" t="s">
        <v>264</v>
      </c>
      <c r="C153" s="4">
        <f>C130</f>
        <v>5.6666666666666661</v>
      </c>
      <c r="D153" s="4">
        <f>E130</f>
        <v>37.666666666666664</v>
      </c>
      <c r="E153" s="4">
        <f>G130</f>
        <v>37.666666666666664</v>
      </c>
      <c r="F153" s="4">
        <f>I130</f>
        <v>37.666666666666664</v>
      </c>
      <c r="G153" s="4">
        <f>K130</f>
        <v>47.666666666666664</v>
      </c>
      <c r="H153" s="4">
        <f>M130</f>
        <v>47.666666666666664</v>
      </c>
      <c r="I153" s="4">
        <f>O130</f>
        <v>57.666666666666664</v>
      </c>
      <c r="J153" s="4">
        <f>Q130</f>
        <v>57.666666666666664</v>
      </c>
      <c r="K153" s="4">
        <f>S130</f>
        <v>67.666666666666671</v>
      </c>
      <c r="L153" s="4">
        <f>U130</f>
        <v>67.666666666666671</v>
      </c>
    </row>
    <row r="154" spans="1:22" x14ac:dyDescent="0.35">
      <c r="B154" t="s">
        <v>281</v>
      </c>
      <c r="C154" s="4">
        <f>C117</f>
        <v>4.3999999999999995</v>
      </c>
      <c r="D154" s="4">
        <f>E117</f>
        <v>40.4</v>
      </c>
      <c r="E154" s="4">
        <f>G117</f>
        <v>40.4</v>
      </c>
      <c r="F154" s="4">
        <f>I117</f>
        <v>40.4</v>
      </c>
      <c r="G154" s="4">
        <f>K117</f>
        <v>44.4</v>
      </c>
      <c r="H154" s="4">
        <f>M117</f>
        <v>44.4</v>
      </c>
      <c r="I154" s="4">
        <f>O117</f>
        <v>54.4</v>
      </c>
      <c r="J154" s="4">
        <f>Q117</f>
        <v>54.4</v>
      </c>
      <c r="K154" s="4">
        <f>S117</f>
        <v>74.400000000000006</v>
      </c>
      <c r="L154" s="4">
        <f>U117</f>
        <v>74.400000000000006</v>
      </c>
    </row>
    <row r="156" spans="1:22" x14ac:dyDescent="0.35">
      <c r="B156" t="str">
        <f>A47</f>
        <v>AONI Plus1</v>
      </c>
      <c r="C156" t="e">
        <f>C56</f>
        <v>#REF!</v>
      </c>
      <c r="D156" t="e">
        <f>E56</f>
        <v>#REF!</v>
      </c>
      <c r="E156" t="e">
        <f>G56</f>
        <v>#REF!</v>
      </c>
      <c r="F156" t="e">
        <f>I56</f>
        <v>#REF!</v>
      </c>
      <c r="G156" t="e">
        <f>K56</f>
        <v>#REF!</v>
      </c>
      <c r="H156" t="e">
        <f>M56</f>
        <v>#REF!</v>
      </c>
      <c r="I156" t="e">
        <f>O56</f>
        <v>#REF!</v>
      </c>
      <c r="J156" t="e">
        <f>Q56</f>
        <v>#REF!</v>
      </c>
      <c r="K156" t="e">
        <f>S56</f>
        <v>#REF!</v>
      </c>
      <c r="L156" t="e">
        <f>U56</f>
        <v>#REF!</v>
      </c>
    </row>
    <row r="157" spans="1:22" x14ac:dyDescent="0.35">
      <c r="B157" t="str">
        <f>A60</f>
        <v>AONI Plus2</v>
      </c>
      <c r="C157" t="e">
        <f>C69</f>
        <v>#REF!</v>
      </c>
      <c r="D157" t="e">
        <f>E69</f>
        <v>#REF!</v>
      </c>
      <c r="E157" t="e">
        <f>G69</f>
        <v>#REF!</v>
      </c>
      <c r="F157" t="e">
        <f>I69</f>
        <v>#REF!</v>
      </c>
      <c r="G157" t="e">
        <f>K69</f>
        <v>#REF!</v>
      </c>
      <c r="H157" t="e">
        <f>M69</f>
        <v>#REF!</v>
      </c>
      <c r="I157" t="e">
        <f>O69</f>
        <v>#REF!</v>
      </c>
      <c r="J157" t="e">
        <f>Q69</f>
        <v>#REF!</v>
      </c>
      <c r="K157" t="e">
        <f>S69</f>
        <v>#REF!</v>
      </c>
      <c r="L157" t="e">
        <f>U69</f>
        <v>#REF!</v>
      </c>
    </row>
    <row r="158" spans="1:22" x14ac:dyDescent="0.35">
      <c r="B158" t="s">
        <v>212</v>
      </c>
      <c r="C158" s="4">
        <f>C105</f>
        <v>8.4</v>
      </c>
      <c r="D158" s="4" t="e">
        <f>E105</f>
        <v>#REF!</v>
      </c>
      <c r="E158" s="4" t="e">
        <f>G105</f>
        <v>#REF!</v>
      </c>
      <c r="F158" s="4" t="e">
        <f>I105</f>
        <v>#REF!</v>
      </c>
      <c r="G158" s="4" t="e">
        <f>K105</f>
        <v>#REF!</v>
      </c>
      <c r="H158" s="4" t="e">
        <f>M105</f>
        <v>#REF!</v>
      </c>
      <c r="I158" s="4" t="e">
        <f>O105</f>
        <v>#REF!</v>
      </c>
      <c r="J158" s="4" t="e">
        <f>Q105</f>
        <v>#REF!</v>
      </c>
      <c r="K158" s="4" t="e">
        <f>S105</f>
        <v>#REF!</v>
      </c>
      <c r="L158" s="4" t="e">
        <f>U105</f>
        <v>#REF!</v>
      </c>
    </row>
  </sheetData>
  <pageMargins left="0.7" right="0.7" top="0.75" bottom="0.75" header="0.3" footer="0.3"/>
  <pageSetup paperSize="9" orientation="portrait" horizontalDpi="0"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4071-201B-489A-A0EC-F11088AA5665}">
  <dimension ref="A1:M124"/>
  <sheetViews>
    <sheetView topLeftCell="A93" zoomScale="90" zoomScaleNormal="90" workbookViewId="0">
      <selection activeCell="K44" sqref="K44"/>
    </sheetView>
  </sheetViews>
  <sheetFormatPr defaultRowHeight="14.5" x14ac:dyDescent="0.35"/>
  <cols>
    <col min="1" max="1" width="25.7265625" customWidth="1"/>
    <col min="2" max="2" width="11" bestFit="1" customWidth="1"/>
    <col min="8" max="8" width="9.54296875" bestFit="1" customWidth="1"/>
  </cols>
  <sheetData>
    <row r="1" spans="1:13" x14ac:dyDescent="0.35">
      <c r="A1" t="s">
        <v>244</v>
      </c>
    </row>
    <row r="3" spans="1:13" ht="21" x14ac:dyDescent="0.5">
      <c r="A3" s="83" t="s">
        <v>245</v>
      </c>
    </row>
    <row r="6" spans="1:13" x14ac:dyDescent="0.35">
      <c r="A6" s="19" t="s">
        <v>247</v>
      </c>
      <c r="B6" t="s">
        <v>192</v>
      </c>
      <c r="C6" t="s">
        <v>219</v>
      </c>
      <c r="D6" t="s">
        <v>246</v>
      </c>
      <c r="E6" t="s">
        <v>248</v>
      </c>
      <c r="F6" t="s">
        <v>192</v>
      </c>
      <c r="G6" t="s">
        <v>219</v>
      </c>
      <c r="H6" t="s">
        <v>246</v>
      </c>
      <c r="J6" t="s">
        <v>248</v>
      </c>
      <c r="K6" t="s">
        <v>192</v>
      </c>
      <c r="L6" t="s">
        <v>219</v>
      </c>
      <c r="M6" t="s">
        <v>246</v>
      </c>
    </row>
    <row r="7" spans="1:13" x14ac:dyDescent="0.35">
      <c r="A7">
        <v>1</v>
      </c>
      <c r="B7" s="10">
        <f>AONI!B96</f>
        <v>0</v>
      </c>
      <c r="C7" s="10">
        <f>BIDyn!B111</f>
        <v>0</v>
      </c>
      <c r="D7" s="10">
        <f>'BIDyn light'!B111</f>
        <v>0</v>
      </c>
      <c r="E7">
        <v>1</v>
      </c>
      <c r="F7">
        <v>0</v>
      </c>
      <c r="G7">
        <v>0</v>
      </c>
      <c r="H7">
        <v>0</v>
      </c>
      <c r="K7">
        <v>12600</v>
      </c>
      <c r="L7">
        <v>12601</v>
      </c>
      <c r="M7">
        <v>12602</v>
      </c>
    </row>
    <row r="8" spans="1:13" x14ac:dyDescent="0.35">
      <c r="A8">
        <v>2</v>
      </c>
      <c r="B8" s="11">
        <f>AONI!D96</f>
        <v>0.31</v>
      </c>
      <c r="C8" s="11">
        <f>BIDyn!D111</f>
        <v>0.31</v>
      </c>
      <c r="D8" s="11">
        <f>'BIDyn light'!D111</f>
        <v>0.36</v>
      </c>
      <c r="E8">
        <v>2</v>
      </c>
      <c r="F8">
        <f>AONI!C95</f>
        <v>12600</v>
      </c>
      <c r="G8">
        <f>BIDyn!C110</f>
        <v>12600</v>
      </c>
      <c r="H8">
        <f>'BIDyn light'!C110</f>
        <v>12600</v>
      </c>
      <c r="K8">
        <f>F9-F8</f>
        <v>7400</v>
      </c>
      <c r="L8">
        <f t="shared" ref="L8:M10" si="0">G9-G8</f>
        <v>22400</v>
      </c>
      <c r="M8">
        <f t="shared" si="0"/>
        <v>12400</v>
      </c>
    </row>
    <row r="9" spans="1:13" x14ac:dyDescent="0.35">
      <c r="A9">
        <v>3</v>
      </c>
      <c r="B9" s="11">
        <f>AONI!F96</f>
        <v>0.52</v>
      </c>
      <c r="C9" s="11">
        <f>BIDyn!F111</f>
        <v>0.38</v>
      </c>
      <c r="D9" s="11">
        <f>'BIDyn light'!F111</f>
        <v>0.4</v>
      </c>
      <c r="E9">
        <v>3</v>
      </c>
      <c r="F9">
        <f>AONI!E95</f>
        <v>20000</v>
      </c>
      <c r="G9">
        <f>BIDyn!E110</f>
        <v>35000</v>
      </c>
      <c r="H9">
        <f>'BIDyn light'!E110</f>
        <v>25000</v>
      </c>
      <c r="K9">
        <f>F10-F9</f>
        <v>16000</v>
      </c>
      <c r="L9">
        <f t="shared" si="0"/>
        <v>15000</v>
      </c>
      <c r="M9">
        <f t="shared" si="0"/>
        <v>12000</v>
      </c>
    </row>
    <row r="10" spans="1:13" x14ac:dyDescent="0.35">
      <c r="A10">
        <v>4</v>
      </c>
      <c r="B10" s="11">
        <f>AONI!H96</f>
        <v>0.7</v>
      </c>
      <c r="C10" s="11">
        <f>BIDyn!H111</f>
        <v>0.5</v>
      </c>
      <c r="D10" s="11">
        <f>'BIDyn light'!H111</f>
        <v>0.5</v>
      </c>
      <c r="E10">
        <v>4</v>
      </c>
      <c r="F10">
        <f>AONI!G95</f>
        <v>36000</v>
      </c>
      <c r="G10">
        <f>BIDyn!G110</f>
        <v>50000</v>
      </c>
      <c r="H10">
        <f>'BIDyn light'!G110</f>
        <v>37000</v>
      </c>
      <c r="K10">
        <f>F11-F10</f>
        <v>29000</v>
      </c>
      <c r="L10">
        <f t="shared" si="0"/>
        <v>25000</v>
      </c>
      <c r="M10">
        <f t="shared" si="0"/>
        <v>28000</v>
      </c>
    </row>
    <row r="11" spans="1:13" x14ac:dyDescent="0.35">
      <c r="A11">
        <v>5</v>
      </c>
      <c r="B11" s="11">
        <f>AONI!J96</f>
        <v>0.85</v>
      </c>
      <c r="C11" s="11">
        <f>BIDyn!J111</f>
        <v>0.6</v>
      </c>
      <c r="D11" s="11">
        <f>'BIDyn light'!J111</f>
        <v>0.7</v>
      </c>
      <c r="E11">
        <v>5</v>
      </c>
      <c r="F11">
        <f>AONI!I95</f>
        <v>65000</v>
      </c>
      <c r="G11">
        <f>BIDyn!I110</f>
        <v>75000</v>
      </c>
      <c r="H11" s="81">
        <f>'BIDyn light'!I110</f>
        <v>65000</v>
      </c>
      <c r="K11">
        <f>100000-F11</f>
        <v>35000</v>
      </c>
      <c r="L11">
        <f t="shared" ref="L11:M11" si="1">100000-G11</f>
        <v>25000</v>
      </c>
      <c r="M11">
        <f t="shared" si="1"/>
        <v>35000</v>
      </c>
    </row>
    <row r="17" spans="1:7" x14ac:dyDescent="0.35">
      <c r="E17" s="82" t="str">
        <f t="shared" ref="E17:E22" si="2">M6</f>
        <v>BIDyn-light</v>
      </c>
      <c r="F17" s="82" t="str">
        <f t="shared" ref="F17:F22" si="3">L6</f>
        <v>BIDyn</v>
      </c>
      <c r="G17" s="82" t="str">
        <f t="shared" ref="G17:G22" si="4">K6</f>
        <v>AONI</v>
      </c>
    </row>
    <row r="18" spans="1:7" x14ac:dyDescent="0.35">
      <c r="E18" s="82">
        <f t="shared" si="2"/>
        <v>12602</v>
      </c>
      <c r="F18" s="82">
        <f t="shared" si="3"/>
        <v>12601</v>
      </c>
      <c r="G18" s="82">
        <f t="shared" si="4"/>
        <v>12600</v>
      </c>
    </row>
    <row r="19" spans="1:7" x14ac:dyDescent="0.35">
      <c r="E19" s="82">
        <f t="shared" si="2"/>
        <v>12400</v>
      </c>
      <c r="F19" s="82">
        <f t="shared" si="3"/>
        <v>22400</v>
      </c>
      <c r="G19" s="82">
        <f t="shared" si="4"/>
        <v>7400</v>
      </c>
    </row>
    <row r="20" spans="1:7" x14ac:dyDescent="0.35">
      <c r="E20" s="82">
        <f t="shared" si="2"/>
        <v>12000</v>
      </c>
      <c r="F20" s="82">
        <f t="shared" si="3"/>
        <v>15000</v>
      </c>
      <c r="G20" s="82">
        <f t="shared" si="4"/>
        <v>16000</v>
      </c>
    </row>
    <row r="21" spans="1:7" x14ac:dyDescent="0.35">
      <c r="E21" s="82">
        <f t="shared" si="2"/>
        <v>28000</v>
      </c>
      <c r="F21" s="82">
        <f t="shared" si="3"/>
        <v>25000</v>
      </c>
      <c r="G21" s="82">
        <f t="shared" si="4"/>
        <v>29000</v>
      </c>
    </row>
    <row r="22" spans="1:7" x14ac:dyDescent="0.35">
      <c r="E22" s="82">
        <f t="shared" si="2"/>
        <v>35000</v>
      </c>
      <c r="F22" s="82">
        <f t="shared" si="3"/>
        <v>25000</v>
      </c>
      <c r="G22" s="82">
        <f t="shared" si="4"/>
        <v>35000</v>
      </c>
    </row>
    <row r="28" spans="1:7" ht="21" x14ac:dyDescent="0.5">
      <c r="A28" s="83" t="s">
        <v>249</v>
      </c>
    </row>
    <row r="49" spans="1:1" ht="21" x14ac:dyDescent="0.5">
      <c r="A49" s="83" t="s">
        <v>134</v>
      </c>
    </row>
    <row r="71" spans="1:11" ht="21" x14ac:dyDescent="0.5">
      <c r="A71" s="83" t="s">
        <v>250</v>
      </c>
    </row>
    <row r="73" spans="1:11" x14ac:dyDescent="0.35">
      <c r="A73" t="s">
        <v>19</v>
      </c>
      <c r="B73">
        <v>1</v>
      </c>
      <c r="C73">
        <v>2</v>
      </c>
      <c r="D73">
        <v>3</v>
      </c>
      <c r="E73">
        <v>4</v>
      </c>
      <c r="F73">
        <v>5</v>
      </c>
      <c r="G73">
        <v>6</v>
      </c>
      <c r="H73">
        <v>7</v>
      </c>
      <c r="I73">
        <v>8</v>
      </c>
      <c r="J73">
        <v>9</v>
      </c>
      <c r="K73">
        <v>10</v>
      </c>
    </row>
    <row r="74" spans="1:11" x14ac:dyDescent="0.35">
      <c r="A74" t="s">
        <v>192</v>
      </c>
      <c r="B74" s="4">
        <f>AONI!B125</f>
        <v>1500</v>
      </c>
      <c r="C74" s="4">
        <f>AONI!C125</f>
        <v>9784.11</v>
      </c>
      <c r="D74" s="4">
        <f>AONI!D125</f>
        <v>7763.9105199999995</v>
      </c>
      <c r="E74" s="4">
        <f>AONI!E125</f>
        <v>5895.0445199999995</v>
      </c>
      <c r="F74" s="4">
        <f>AONI!F125</f>
        <v>4167.5548799999997</v>
      </c>
      <c r="G74" s="4">
        <f>AONI!G125</f>
        <v>2191.8088800000005</v>
      </c>
      <c r="H74" s="4">
        <f>AONI!H125</f>
        <v>193.81007999999929</v>
      </c>
      <c r="I74" s="4">
        <f>AONI!I125</f>
        <v>-1862.0339200000017</v>
      </c>
      <c r="J74" s="4">
        <f>AONI!J125</f>
        <v>-6781.7779200000004</v>
      </c>
      <c r="K74" s="4">
        <f>AONI!K125</f>
        <v>-22496.6005</v>
      </c>
    </row>
    <row r="75" spans="1:11" x14ac:dyDescent="0.35">
      <c r="A75" t="s">
        <v>219</v>
      </c>
      <c r="B75" s="4">
        <f>BIDyn!B142</f>
        <v>1500</v>
      </c>
      <c r="C75" s="4">
        <f>BIDyn!C142</f>
        <v>9121.11</v>
      </c>
      <c r="D75" s="4">
        <f>BIDyn!D142</f>
        <v>9196.2365200000004</v>
      </c>
      <c r="E75" s="4">
        <f>BIDyn!E142</f>
        <v>7981.1425200000012</v>
      </c>
      <c r="F75" s="4">
        <f>BIDyn!F142</f>
        <v>7303.278879999998</v>
      </c>
      <c r="G75" s="4">
        <f>BIDyn!G142</f>
        <v>7176.1808800000035</v>
      </c>
      <c r="H75" s="4">
        <f>BIDyn!H142</f>
        <v>7365.5100799999964</v>
      </c>
      <c r="I75" s="4">
        <f>BIDyn!I142</f>
        <v>6858.0660799999969</v>
      </c>
      <c r="J75" s="4">
        <f>BIDyn!J142</f>
        <v>6091.7220799999996</v>
      </c>
      <c r="K75" s="4">
        <f>BIDyn!K142</f>
        <v>1261.7195000000065</v>
      </c>
    </row>
    <row r="76" spans="1:11" x14ac:dyDescent="0.35">
      <c r="A76" t="s">
        <v>246</v>
      </c>
      <c r="B76" s="4">
        <f>'BIDyn light'!B140</f>
        <v>1500</v>
      </c>
      <c r="C76" s="4">
        <f>'BIDyn light'!C140</f>
        <v>5043.2940000000017</v>
      </c>
      <c r="D76" s="4">
        <f>'BIDyn light'!D140</f>
        <v>4268.4065199999986</v>
      </c>
      <c r="E76" s="4">
        <f>'BIDyn light'!E140</f>
        <v>2966.4525199999989</v>
      </c>
      <c r="F76" s="4">
        <f>'BIDyn light'!F140</f>
        <v>2055.4748799999979</v>
      </c>
      <c r="G76" s="4">
        <f>'BIDyn light'!G140</f>
        <v>1967.5688799999989</v>
      </c>
      <c r="H76" s="4">
        <f>'BIDyn light'!H140</f>
        <v>1466.01008</v>
      </c>
      <c r="I76" s="4">
        <f>'BIDyn light'!I140</f>
        <v>1154.5660799999969</v>
      </c>
      <c r="J76" s="4">
        <f>'BIDyn light'!J140</f>
        <v>31.822079999998095</v>
      </c>
      <c r="K76" s="4">
        <f>'BIDyn light'!K140</f>
        <v>-8938.7604999999967</v>
      </c>
    </row>
    <row r="85" spans="1:11" x14ac:dyDescent="0.35">
      <c r="A85" t="s">
        <v>279</v>
      </c>
      <c r="B85" s="4">
        <f>B75</f>
        <v>1500</v>
      </c>
      <c r="C85" s="4">
        <f t="shared" ref="C85:K85" si="5">C75</f>
        <v>9121.11</v>
      </c>
      <c r="D85" s="4">
        <f t="shared" si="5"/>
        <v>9196.2365200000004</v>
      </c>
      <c r="E85" s="4">
        <f t="shared" si="5"/>
        <v>7981.1425200000012</v>
      </c>
      <c r="F85" s="4">
        <f t="shared" si="5"/>
        <v>7303.278879999998</v>
      </c>
      <c r="G85" s="4">
        <f t="shared" si="5"/>
        <v>7176.1808800000035</v>
      </c>
      <c r="H85" s="4">
        <f t="shared" si="5"/>
        <v>7365.5100799999964</v>
      </c>
      <c r="I85" s="4">
        <f t="shared" si="5"/>
        <v>6858.0660799999969</v>
      </c>
      <c r="J85" s="4">
        <f t="shared" si="5"/>
        <v>6091.7220799999996</v>
      </c>
      <c r="K85" s="4">
        <f t="shared" si="5"/>
        <v>1261.7195000000065</v>
      </c>
    </row>
    <row r="86" spans="1:11" x14ac:dyDescent="0.35">
      <c r="A86" t="s">
        <v>267</v>
      </c>
      <c r="B86" s="4">
        <f>'BIDyn-40'!B140</f>
        <v>1500</v>
      </c>
      <c r="C86" s="4">
        <f>'BIDyn-40'!C140</f>
        <v>7479.9766666666692</v>
      </c>
      <c r="D86" s="4">
        <f>'BIDyn-40'!D140</f>
        <v>7518.7105199999987</v>
      </c>
      <c r="E86" s="4">
        <f>'BIDyn-40'!E140</f>
        <v>6375.1111866666652</v>
      </c>
      <c r="F86" s="4">
        <f>'BIDyn-40'!F140</f>
        <v>5504.7548799999968</v>
      </c>
      <c r="G86" s="4">
        <f>'BIDyn-40'!G140</f>
        <v>5295.408879999999</v>
      </c>
      <c r="H86" s="4">
        <f>'BIDyn-40'!H140</f>
        <v>4724.8100799999993</v>
      </c>
      <c r="I86" s="4">
        <f>'BIDyn-40'!I140</f>
        <v>4269.6327466666698</v>
      </c>
      <c r="J86" s="4">
        <f>'BIDyn-40'!J140</f>
        <v>3005.2220799999996</v>
      </c>
      <c r="K86" s="4">
        <f>'BIDyn-40'!K140</f>
        <v>-1830.7338333333319</v>
      </c>
    </row>
    <row r="87" spans="1:11" x14ac:dyDescent="0.35">
      <c r="A87" t="s">
        <v>264</v>
      </c>
      <c r="B87" s="4">
        <f>'BIDyn-20'!B140</f>
        <v>1500</v>
      </c>
      <c r="C87" s="4">
        <f>'BIDyn-20'!C140</f>
        <v>6097.256666666668</v>
      </c>
      <c r="D87" s="4">
        <f>'BIDyn-20'!D140</f>
        <v>5747.0305199999984</v>
      </c>
      <c r="E87" s="4">
        <f>'BIDyn-20'!E140</f>
        <v>4572.4711866666657</v>
      </c>
      <c r="F87" s="4">
        <f>'BIDyn-20'!F140</f>
        <v>3867.748213333336</v>
      </c>
      <c r="G87" s="4">
        <f>'BIDyn-20'!G140</f>
        <v>3597.2222133333344</v>
      </c>
      <c r="H87" s="4">
        <f>'BIDyn-20'!H140</f>
        <v>3036.5300800000005</v>
      </c>
      <c r="I87" s="4">
        <f>'BIDyn-20'!I140</f>
        <v>2478.1260800000018</v>
      </c>
      <c r="J87" s="4">
        <f>'BIDyn-20'!J140</f>
        <v>1200.3220799999981</v>
      </c>
      <c r="K87" s="4">
        <f>'BIDyn-20'!K140</f>
        <v>-4237.0938333333324</v>
      </c>
    </row>
    <row r="88" spans="1:11" x14ac:dyDescent="0.35">
      <c r="A88" t="s">
        <v>280</v>
      </c>
      <c r="B88" s="4">
        <f>B76</f>
        <v>1500</v>
      </c>
      <c r="C88" s="4">
        <f t="shared" ref="C88:K88" si="6">C76</f>
        <v>5043.2940000000017</v>
      </c>
      <c r="D88" s="4">
        <f t="shared" si="6"/>
        <v>4268.4065199999986</v>
      </c>
      <c r="E88" s="4">
        <f t="shared" si="6"/>
        <v>2966.4525199999989</v>
      </c>
      <c r="F88" s="4">
        <f t="shared" si="6"/>
        <v>2055.4748799999979</v>
      </c>
      <c r="G88" s="4">
        <f t="shared" si="6"/>
        <v>1967.5688799999989</v>
      </c>
      <c r="H88" s="4">
        <f t="shared" si="6"/>
        <v>1466.01008</v>
      </c>
      <c r="I88" s="4">
        <f t="shared" si="6"/>
        <v>1154.5660799999969</v>
      </c>
      <c r="J88" s="4">
        <f t="shared" si="6"/>
        <v>31.822079999998095</v>
      </c>
      <c r="K88" s="4">
        <f t="shared" si="6"/>
        <v>-8938.7604999999967</v>
      </c>
    </row>
    <row r="101" spans="1:4" ht="21" x14ac:dyDescent="0.5">
      <c r="A101" s="83" t="s">
        <v>251</v>
      </c>
    </row>
    <row r="103" spans="1:4" x14ac:dyDescent="0.35">
      <c r="A103" s="1" t="s">
        <v>256</v>
      </c>
      <c r="B103" t="s">
        <v>192</v>
      </c>
      <c r="C103" t="s">
        <v>219</v>
      </c>
      <c r="D103" t="s">
        <v>246</v>
      </c>
    </row>
    <row r="104" spans="1:4" x14ac:dyDescent="0.35">
      <c r="A104" t="str">
        <f>AONI!A4</f>
        <v>Basisinkomen-uitkering</v>
      </c>
      <c r="B104" s="4">
        <f>AONI!E4/1000000000</f>
        <v>178.47699975</v>
      </c>
      <c r="C104" s="4">
        <f>BIDyn!N42/1000000000</f>
        <v>122.79811157100001</v>
      </c>
      <c r="D104" s="4" cm="1">
        <f t="array" ref="D104:D105">'BIDyn light'!N41:N42/1000000000</f>
        <v>57.096991143000018</v>
      </c>
    </row>
    <row r="105" spans="1:4" x14ac:dyDescent="0.35">
      <c r="A105" t="str">
        <f>AONI!A5</f>
        <v>Basisinkomen-kinderen</v>
      </c>
      <c r="B105" s="4">
        <f>AONI!E5/1000000000</f>
        <v>5.9152672800000001</v>
      </c>
      <c r="C105" s="4">
        <f>BIDyn!N43/1000000000</f>
        <v>5.9152672800000001</v>
      </c>
      <c r="D105" s="4">
        <v>5.9152672800000001</v>
      </c>
    </row>
    <row r="106" spans="1:4" x14ac:dyDescent="0.35">
      <c r="A106" t="str">
        <f>AONI!A6</f>
        <v>Compensatiefonds</v>
      </c>
      <c r="B106" s="4">
        <f>AONI!E6/1000000000</f>
        <v>4.4103000000000003</v>
      </c>
      <c r="C106" s="4">
        <f>BIDyn!N44/1000000000</f>
        <v>4.4103000000000003</v>
      </c>
      <c r="D106" s="4">
        <f>('BIDyn light'!N43+'BIDyn light'!N44)/1000000000</f>
        <v>6.8102999999999998</v>
      </c>
    </row>
    <row r="107" spans="1:4" x14ac:dyDescent="0.35">
      <c r="A107" t="s">
        <v>255</v>
      </c>
      <c r="B107" s="4"/>
      <c r="C107" s="4">
        <f>BIDyn!F32/1000000000</f>
        <v>10</v>
      </c>
      <c r="D107" s="4">
        <f>'BIDyn light'!F32/1000000000</f>
        <v>10</v>
      </c>
    </row>
    <row r="108" spans="1:4" x14ac:dyDescent="0.35">
      <c r="A108" s="8" t="str">
        <f>AONI!A7</f>
        <v>Totaal kosten basisinkomen</v>
      </c>
      <c r="B108" s="42">
        <f t="shared" ref="B108:C108" si="7">SUM(B104:B107)</f>
        <v>188.80256703000001</v>
      </c>
      <c r="C108" s="42">
        <f t="shared" si="7"/>
        <v>143.12367885100002</v>
      </c>
      <c r="D108" s="42">
        <f>SUM(D104:D107)</f>
        <v>79.822558423000018</v>
      </c>
    </row>
    <row r="109" spans="1:4" x14ac:dyDescent="0.35">
      <c r="A109" s="1" t="s">
        <v>252</v>
      </c>
    </row>
    <row r="110" spans="1:4" x14ac:dyDescent="0.35">
      <c r="A110" t="s">
        <v>253</v>
      </c>
      <c r="B110" s="4">
        <f>AONI!E20/1000000000</f>
        <v>29.402000000000001</v>
      </c>
      <c r="C110" s="4">
        <f>BIDyn!E25/1000000000</f>
        <v>29.402000000000001</v>
      </c>
      <c r="D110" s="4">
        <f>'BIDyn light'!E25/1000000000</f>
        <v>29.402000000000001</v>
      </c>
    </row>
    <row r="111" spans="1:4" x14ac:dyDescent="0.35">
      <c r="A111" t="s">
        <v>254</v>
      </c>
      <c r="B111" s="4">
        <f>AONI!M113/1000000000</f>
        <v>159.53127312047849</v>
      </c>
      <c r="C111" s="4">
        <f>BIDyn!M128/1000000000</f>
        <v>46.958387555894198</v>
      </c>
      <c r="D111" s="4">
        <f>'BIDyn light'!L132/1000000000</f>
        <v>49.712456819505917</v>
      </c>
    </row>
    <row r="112" spans="1:4" x14ac:dyDescent="0.35">
      <c r="A112" t="s">
        <v>261</v>
      </c>
      <c r="B112" s="4"/>
      <c r="C112" s="4">
        <v>7</v>
      </c>
      <c r="D112" s="4"/>
    </row>
    <row r="113" spans="1:4" x14ac:dyDescent="0.35">
      <c r="A113" t="s">
        <v>257</v>
      </c>
      <c r="B113" s="4"/>
      <c r="C113" s="4">
        <f>BIDyn!L137/1000000000</f>
        <v>59.763291295105802</v>
      </c>
      <c r="D113" s="4"/>
    </row>
    <row r="114" spans="1:4" x14ac:dyDescent="0.35">
      <c r="A114" s="8" t="s">
        <v>258</v>
      </c>
      <c r="B114" s="42">
        <f>SUM(B110:B113)</f>
        <v>188.93327312047847</v>
      </c>
      <c r="C114" s="42">
        <f>SUM(C110:C113)</f>
        <v>143.12367885099999</v>
      </c>
      <c r="D114" s="42">
        <f>SUM(D110:D113)</f>
        <v>79.114456819505918</v>
      </c>
    </row>
    <row r="118" spans="1:4" ht="21" x14ac:dyDescent="0.5">
      <c r="A118" s="83" t="s">
        <v>259</v>
      </c>
    </row>
    <row r="120" spans="1:4" x14ac:dyDescent="0.35">
      <c r="B120" t="str">
        <f>AONI!N146</f>
        <v>Aandeel rijkste 10%</v>
      </c>
      <c r="C120" t="str">
        <f>AONI!O146</f>
        <v>Aandeel armste 50%</v>
      </c>
    </row>
    <row r="121" spans="1:4" x14ac:dyDescent="0.35">
      <c r="A121" t="str">
        <f>AONI!M147</f>
        <v>Netto inkomen vóór invoering BI</v>
      </c>
      <c r="B121" s="60">
        <f>AONI!N147</f>
        <v>0.18845459020287719</v>
      </c>
      <c r="C121" s="60">
        <f>AONI!O147</f>
        <v>0.24994087440685428</v>
      </c>
    </row>
    <row r="122" spans="1:4" x14ac:dyDescent="0.35">
      <c r="A122" t="s">
        <v>192</v>
      </c>
      <c r="B122" s="11">
        <f>AONI!N149</f>
        <v>0.12438117145929624</v>
      </c>
      <c r="C122" s="11">
        <f>AONI!O149</f>
        <v>0.35241685188345118</v>
      </c>
    </row>
    <row r="123" spans="1:4" x14ac:dyDescent="0.35">
      <c r="A123" t="s">
        <v>219</v>
      </c>
      <c r="B123" s="11">
        <f>BIDyn!N165</f>
        <v>0.15631702803856973</v>
      </c>
      <c r="C123" s="11">
        <f>BIDyn!O165</f>
        <v>0.30661245447843499</v>
      </c>
    </row>
    <row r="124" spans="1:4" x14ac:dyDescent="0.35">
      <c r="A124" t="s">
        <v>246</v>
      </c>
      <c r="B124" s="11">
        <f>'BIDyn light'!N163</f>
        <v>0.15781453662908199</v>
      </c>
      <c r="C124" s="11">
        <f>'BIDyn light'!O163</f>
        <v>0.29347294009482455</v>
      </c>
    </row>
  </sheetData>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1F25-F825-40E8-964D-D3FD575ABAE1}">
  <dimension ref="A1:K51"/>
  <sheetViews>
    <sheetView topLeftCell="A17" workbookViewId="0">
      <selection activeCell="H30" sqref="H30"/>
    </sheetView>
  </sheetViews>
  <sheetFormatPr defaultRowHeight="14.5" x14ac:dyDescent="0.35"/>
  <cols>
    <col min="1" max="1" width="22.1796875" customWidth="1"/>
    <col min="2" max="2" width="10" bestFit="1" customWidth="1"/>
    <col min="4" max="4" width="11.7265625" bestFit="1" customWidth="1"/>
  </cols>
  <sheetData>
    <row r="1" spans="1:11" x14ac:dyDescent="0.35">
      <c r="A1" s="1" t="s">
        <v>163</v>
      </c>
    </row>
    <row r="3" spans="1:11" x14ac:dyDescent="0.35">
      <c r="A3" t="s">
        <v>26</v>
      </c>
      <c r="B3">
        <v>13490325</v>
      </c>
    </row>
    <row r="4" spans="1:11" x14ac:dyDescent="0.35">
      <c r="A4" t="s">
        <v>19</v>
      </c>
      <c r="B4">
        <f>B3/10</f>
        <v>1349032.5</v>
      </c>
    </row>
    <row r="5" spans="1:11" x14ac:dyDescent="0.35">
      <c r="A5" t="s">
        <v>19</v>
      </c>
      <c r="B5">
        <v>1</v>
      </c>
      <c r="C5">
        <v>2</v>
      </c>
      <c r="D5">
        <v>3</v>
      </c>
      <c r="E5">
        <v>4</v>
      </c>
      <c r="F5">
        <v>5</v>
      </c>
      <c r="G5">
        <v>6</v>
      </c>
      <c r="H5">
        <v>7</v>
      </c>
      <c r="I5">
        <v>8</v>
      </c>
      <c r="J5">
        <v>9</v>
      </c>
      <c r="K5">
        <v>10</v>
      </c>
    </row>
    <row r="6" spans="1:11" x14ac:dyDescent="0.35">
      <c r="A6" t="s">
        <v>167</v>
      </c>
      <c r="B6" s="4">
        <f>AONI!B35</f>
        <v>2400</v>
      </c>
      <c r="C6" s="4">
        <f>AONI!C35</f>
        <v>9500</v>
      </c>
      <c r="D6" s="4">
        <f>AONI!D35</f>
        <v>14400</v>
      </c>
      <c r="E6" s="4">
        <f>AONI!E35</f>
        <v>18700</v>
      </c>
      <c r="F6" s="4">
        <f>AONI!F35</f>
        <v>24700</v>
      </c>
      <c r="G6" s="4">
        <f>AONI!G35</f>
        <v>31600</v>
      </c>
      <c r="H6" s="4">
        <f>AONI!H35</f>
        <v>39900</v>
      </c>
      <c r="I6" s="4">
        <f>AONI!I35</f>
        <v>49700</v>
      </c>
      <c r="J6" s="4">
        <f>AONI!J35</f>
        <v>64500</v>
      </c>
      <c r="K6" s="4">
        <f>AONI!K35</f>
        <v>113800</v>
      </c>
    </row>
    <row r="7" spans="1:11" x14ac:dyDescent="0.35">
      <c r="A7" t="s">
        <v>8</v>
      </c>
      <c r="D7" s="4">
        <f>$B$18*((-0.4179*D6)+9729.3)</f>
        <v>1283.9216253129555</v>
      </c>
      <c r="E7" s="4">
        <f>$B$18*((-0.4179*E6)+9729.3)</f>
        <v>662.3013159430925</v>
      </c>
      <c r="F7" s="4">
        <v>0</v>
      </c>
    </row>
    <row r="8" spans="1:11" x14ac:dyDescent="0.35">
      <c r="A8" t="s">
        <v>9</v>
      </c>
      <c r="D8" s="4">
        <f>$B$35*((-0.0658*D6)+2028.7)</f>
        <v>901.62950114248554</v>
      </c>
      <c r="E8" s="4">
        <f t="shared" ref="E8:F8" si="0">$B$35*((-0.0658*E6)+2028.7)</f>
        <v>665.67706856580548</v>
      </c>
      <c r="F8" s="4">
        <f t="shared" si="0"/>
        <v>336.44111613322889</v>
      </c>
    </row>
    <row r="9" spans="1:11" x14ac:dyDescent="0.35">
      <c r="A9" t="s">
        <v>11</v>
      </c>
    </row>
    <row r="13" spans="1:11" x14ac:dyDescent="0.35">
      <c r="A13" s="1" t="s">
        <v>8</v>
      </c>
      <c r="C13" t="s">
        <v>169</v>
      </c>
    </row>
    <row r="14" spans="1:11" x14ac:dyDescent="0.35">
      <c r="A14" t="s">
        <v>164</v>
      </c>
      <c r="B14">
        <v>4464</v>
      </c>
      <c r="C14">
        <v>12600</v>
      </c>
      <c r="D14" t="s">
        <v>168</v>
      </c>
    </row>
    <row r="15" spans="1:11" x14ac:dyDescent="0.35">
      <c r="A15" t="s">
        <v>165</v>
      </c>
      <c r="B15">
        <v>24</v>
      </c>
      <c r="C15">
        <v>23225</v>
      </c>
      <c r="D15" t="s">
        <v>166</v>
      </c>
    </row>
    <row r="16" spans="1:11" x14ac:dyDescent="0.35">
      <c r="A16" t="s">
        <v>170</v>
      </c>
      <c r="B16" s="3">
        <f>AONI!$B$12</f>
        <v>1400000</v>
      </c>
    </row>
    <row r="17" spans="1:3" x14ac:dyDescent="0.35">
      <c r="A17" t="s">
        <v>171</v>
      </c>
      <c r="B17" s="3">
        <f>3*B4</f>
        <v>4047097.5</v>
      </c>
    </row>
    <row r="18" spans="1:3" x14ac:dyDescent="0.35">
      <c r="A18" t="s">
        <v>172</v>
      </c>
      <c r="B18" s="3">
        <f>B16/B17</f>
        <v>0.34592692664310659</v>
      </c>
    </row>
    <row r="19" spans="1:3" x14ac:dyDescent="0.35">
      <c r="A19" t="s">
        <v>206</v>
      </c>
      <c r="B19">
        <v>0.41789999999999999</v>
      </c>
    </row>
    <row r="20" spans="1:3" x14ac:dyDescent="0.35">
      <c r="A20" t="s">
        <v>207</v>
      </c>
      <c r="B20" s="60">
        <f>B19*B18</f>
        <v>0.14456286264415424</v>
      </c>
    </row>
    <row r="30" spans="1:3" x14ac:dyDescent="0.35">
      <c r="A30" s="1" t="s">
        <v>9</v>
      </c>
    </row>
    <row r="31" spans="1:3" x14ac:dyDescent="0.35">
      <c r="A31" t="s">
        <v>164</v>
      </c>
      <c r="B31">
        <v>1200</v>
      </c>
      <c r="C31">
        <v>12600</v>
      </c>
    </row>
    <row r="32" spans="1:3" x14ac:dyDescent="0.35">
      <c r="A32" t="s">
        <v>165</v>
      </c>
      <c r="B32">
        <v>24</v>
      </c>
      <c r="C32">
        <v>30481</v>
      </c>
    </row>
    <row r="33" spans="1:2" x14ac:dyDescent="0.35">
      <c r="A33" t="s">
        <v>173</v>
      </c>
      <c r="B33" s="3">
        <f>AONI!$B$13</f>
        <v>4500000</v>
      </c>
    </row>
    <row r="34" spans="1:2" x14ac:dyDescent="0.35">
      <c r="A34" t="s">
        <v>171</v>
      </c>
      <c r="B34" s="3">
        <f>4*B4</f>
        <v>5396130</v>
      </c>
    </row>
    <row r="35" spans="1:2" x14ac:dyDescent="0.35">
      <c r="A35" t="s">
        <v>172</v>
      </c>
      <c r="B35" s="3">
        <f>B33/B34</f>
        <v>0.83393098387177478</v>
      </c>
    </row>
    <row r="36" spans="1:2" x14ac:dyDescent="0.35">
      <c r="A36" t="s">
        <v>208</v>
      </c>
      <c r="B36">
        <v>6.5799999999999997E-2</v>
      </c>
    </row>
    <row r="37" spans="1:2" x14ac:dyDescent="0.35">
      <c r="A37" t="s">
        <v>207</v>
      </c>
      <c r="B37" s="60">
        <f>B36*B35</f>
        <v>5.4872658738762778E-2</v>
      </c>
    </row>
    <row r="48" spans="1:2" x14ac:dyDescent="0.35">
      <c r="B48" s="3"/>
    </row>
    <row r="49" spans="2:2" x14ac:dyDescent="0.35"/>
    <row r="51" spans="2:2" ht="10.5" customHeight="1" x14ac:dyDescent="0.35"/>
  </sheetData>
  <pageMargins left="0.7" right="0.7" top="0.75" bottom="0.75" header="0.3" footer="0.3"/>
  <pageSetup paperSize="9"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Situatie NU</vt:lpstr>
      <vt:lpstr>AONI</vt:lpstr>
      <vt:lpstr>BIDyn</vt:lpstr>
      <vt:lpstr>BIDyn light</vt:lpstr>
      <vt:lpstr>BIDyn-20</vt:lpstr>
      <vt:lpstr>BIDyn-40</vt:lpstr>
      <vt:lpstr>Marginale lasten</vt:lpstr>
      <vt:lpstr>Samenvatting</vt:lpstr>
      <vt:lpstr>Toeslagen lineair</vt:lpstr>
      <vt:lpstr>PAAE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van tilborg</dc:creator>
  <cp:lastModifiedBy>Ruud</cp:lastModifiedBy>
  <dcterms:created xsi:type="dcterms:W3CDTF">2020-06-08T13:40:32Z</dcterms:created>
  <dcterms:modified xsi:type="dcterms:W3CDTF">2021-06-18T14:48:11Z</dcterms:modified>
</cp:coreProperties>
</file>